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295" activeTab="5"/>
  </bookViews>
  <sheets>
    <sheet name="ЗП" sheetId="2" r:id="rId1"/>
    <sheet name="ГОРЛЕС" sheetId="1" r:id="rId2"/>
    <sheet name="прил 1" sheetId="3" r:id="rId3"/>
    <sheet name="прил 2" sheetId="4" r:id="rId4"/>
    <sheet name="прил 3" sheetId="5" r:id="rId5"/>
    <sheet name="прил 4" sheetId="6" r:id="rId6"/>
    <sheet name="Лист5" sheetId="8" r:id="rId7"/>
  </sheets>
  <definedNames>
    <definedName name="_xlnm.Print_Area" localSheetId="2">'прил 1'!$A$1:$Q$60</definedName>
    <definedName name="_xlnm.Print_Area" localSheetId="3">'прил 2'!$A$1:$D$89</definedName>
    <definedName name="_xlnm.Print_Area" localSheetId="4">'прил 3'!$A$1:$I$83</definedName>
  </definedNames>
  <calcPr calcId="145621"/>
</workbook>
</file>

<file path=xl/calcChain.xml><?xml version="1.0" encoding="utf-8"?>
<calcChain xmlns="http://schemas.openxmlformats.org/spreadsheetml/2006/main">
  <c r="G21" i="2" l="1"/>
  <c r="H21" i="2" s="1"/>
  <c r="G20" i="2"/>
  <c r="H20" i="2" s="1"/>
  <c r="F20" i="5" l="1"/>
  <c r="F31" i="5" s="1"/>
  <c r="F42" i="5"/>
  <c r="F15" i="5"/>
  <c r="F26" i="5" s="1"/>
  <c r="F48" i="5" l="1"/>
  <c r="F37" i="5"/>
  <c r="F59" i="5"/>
  <c r="F70" i="5" l="1"/>
  <c r="H75" i="5"/>
  <c r="E66" i="5"/>
  <c r="E67" i="5"/>
  <c r="E73" i="5"/>
  <c r="D68" i="5"/>
  <c r="D69" i="5"/>
  <c r="D70" i="5"/>
  <c r="D71" i="5"/>
  <c r="D72" i="5"/>
  <c r="D73" i="5"/>
  <c r="D74" i="5"/>
  <c r="D75" i="5"/>
  <c r="H17" i="6"/>
  <c r="H31" i="5" l="1"/>
  <c r="C64" i="4"/>
  <c r="M10" i="1"/>
  <c r="L10" i="1"/>
  <c r="C34" i="4"/>
  <c r="J11" i="1" l="1"/>
  <c r="M11" i="1" s="1"/>
  <c r="L11" i="1"/>
  <c r="N29" i="3" l="1"/>
  <c r="M29" i="3"/>
  <c r="L29" i="3"/>
  <c r="K29" i="3"/>
  <c r="J29" i="3"/>
  <c r="I29" i="3"/>
  <c r="H29" i="3"/>
  <c r="G29" i="3"/>
  <c r="F29" i="3"/>
  <c r="E29" i="3"/>
  <c r="I24" i="1"/>
  <c r="H14" i="2"/>
  <c r="H13" i="2"/>
  <c r="K5" i="1"/>
  <c r="M18" i="6" l="1"/>
  <c r="M19" i="6"/>
  <c r="M20" i="6"/>
  <c r="M21" i="6"/>
  <c r="M22" i="6"/>
  <c r="M23" i="6"/>
  <c r="M24" i="6"/>
  <c r="M25" i="6"/>
  <c r="M26" i="6"/>
  <c r="M27" i="6"/>
  <c r="M28" i="6"/>
  <c r="M29" i="6"/>
  <c r="F63" i="5"/>
  <c r="F52" i="5"/>
  <c r="H67" i="5"/>
  <c r="H68" i="5"/>
  <c r="H69" i="5"/>
  <c r="H70" i="5"/>
  <c r="H72" i="5"/>
  <c r="H73" i="5"/>
  <c r="H66" i="5"/>
  <c r="E63" i="5"/>
  <c r="E61" i="5"/>
  <c r="E60" i="5"/>
  <c r="E59" i="5"/>
  <c r="E58" i="5"/>
  <c r="E57" i="5"/>
  <c r="C19" i="4"/>
  <c r="E37" i="3"/>
  <c r="M34" i="3"/>
  <c r="E43" i="3"/>
  <c r="E41" i="3"/>
  <c r="E40" i="3"/>
  <c r="E36" i="3"/>
  <c r="M35" i="3"/>
  <c r="G35" i="3"/>
  <c r="G34" i="3"/>
  <c r="M27" i="3"/>
  <c r="M28" i="3"/>
  <c r="M30" i="3"/>
  <c r="M26" i="3"/>
  <c r="K27" i="3"/>
  <c r="K28" i="3"/>
  <c r="K30" i="3"/>
  <c r="K26" i="3"/>
  <c r="I27" i="3"/>
  <c r="I28" i="3"/>
  <c r="I30" i="3"/>
  <c r="I26" i="3"/>
  <c r="G27" i="3"/>
  <c r="G28" i="3"/>
  <c r="G30" i="3"/>
  <c r="G26" i="3"/>
  <c r="E27" i="3"/>
  <c r="E28" i="3"/>
  <c r="E30" i="3"/>
  <c r="E26" i="3"/>
  <c r="M33" i="3"/>
  <c r="M37" i="3"/>
  <c r="M38" i="3"/>
  <c r="M39" i="3"/>
  <c r="M42" i="3"/>
  <c r="M32" i="3"/>
  <c r="K33" i="3"/>
  <c r="K37" i="3"/>
  <c r="K38" i="3"/>
  <c r="K39" i="3"/>
  <c r="K42" i="3"/>
  <c r="K32" i="3"/>
  <c r="I33" i="3"/>
  <c r="I37" i="3"/>
  <c r="I38" i="3"/>
  <c r="I39" i="3"/>
  <c r="I42" i="3"/>
  <c r="I32" i="3"/>
  <c r="G33" i="3"/>
  <c r="G37" i="3"/>
  <c r="G38" i="3"/>
  <c r="G39" i="3"/>
  <c r="G42" i="3"/>
  <c r="G32" i="3"/>
  <c r="E33" i="3"/>
  <c r="E38" i="3"/>
  <c r="E39" i="3"/>
  <c r="E42" i="3"/>
  <c r="E32" i="3"/>
  <c r="E18" i="3"/>
  <c r="E15" i="3"/>
  <c r="M14" i="3"/>
  <c r="M16" i="3"/>
  <c r="M17" i="3"/>
  <c r="M19" i="3"/>
  <c r="M20" i="3"/>
  <c r="M13" i="3"/>
  <c r="K14" i="3"/>
  <c r="K16" i="3"/>
  <c r="K17" i="3"/>
  <c r="K19" i="3"/>
  <c r="K20" i="3"/>
  <c r="K13" i="3"/>
  <c r="I14" i="3"/>
  <c r="I16" i="3"/>
  <c r="I17" i="3"/>
  <c r="I19" i="3"/>
  <c r="I20" i="3"/>
  <c r="I13" i="3"/>
  <c r="G14" i="3"/>
  <c r="G16" i="3"/>
  <c r="G17" i="3"/>
  <c r="G19" i="3"/>
  <c r="G20" i="3"/>
  <c r="G13" i="3"/>
  <c r="E14" i="3"/>
  <c r="E16" i="3"/>
  <c r="E17" i="3"/>
  <c r="E19" i="3"/>
  <c r="E20" i="3"/>
  <c r="E13" i="3"/>
  <c r="E25" i="3" l="1"/>
  <c r="G25" i="3"/>
  <c r="I25" i="3"/>
  <c r="K25" i="3"/>
  <c r="M25" i="3"/>
  <c r="F40" i="5"/>
  <c r="F51" i="5"/>
  <c r="G59" i="5"/>
  <c r="I59" i="5" s="1"/>
  <c r="C20" i="4" l="1"/>
  <c r="C18" i="4"/>
  <c r="D33" i="3"/>
  <c r="Q33" i="3" s="1"/>
  <c r="D34" i="3"/>
  <c r="Q34" i="3" s="1"/>
  <c r="D35" i="3"/>
  <c r="Q35" i="3" s="1"/>
  <c r="D36" i="3"/>
  <c r="F36" i="3" s="1"/>
  <c r="P36" i="3" s="1"/>
  <c r="D37" i="3"/>
  <c r="Q37" i="3" s="1"/>
  <c r="D38" i="3"/>
  <c r="Q38" i="3" s="1"/>
  <c r="D39" i="3"/>
  <c r="Q39" i="3" s="1"/>
  <c r="D40" i="3"/>
  <c r="F40" i="3" s="1"/>
  <c r="P40" i="3" s="1"/>
  <c r="D41" i="3"/>
  <c r="F41" i="3" s="1"/>
  <c r="P41" i="3" s="1"/>
  <c r="D42" i="3"/>
  <c r="Q42" i="3" s="1"/>
  <c r="D43" i="3"/>
  <c r="F43" i="3" s="1"/>
  <c r="P43" i="3" s="1"/>
  <c r="D32" i="3"/>
  <c r="D27" i="3"/>
  <c r="D28" i="3"/>
  <c r="Q28" i="3" s="1"/>
  <c r="D30" i="3"/>
  <c r="D26" i="3"/>
  <c r="Q26" i="3" s="1"/>
  <c r="D14" i="3"/>
  <c r="D15" i="3"/>
  <c r="F15" i="3" s="1"/>
  <c r="D16" i="3"/>
  <c r="D17" i="3"/>
  <c r="D18" i="3"/>
  <c r="F18" i="3" s="1"/>
  <c r="P18" i="3" s="1"/>
  <c r="D19" i="3"/>
  <c r="Q19" i="3" s="1"/>
  <c r="D20" i="3"/>
  <c r="Q20" i="3" s="1"/>
  <c r="D13" i="3"/>
  <c r="Q14" i="3"/>
  <c r="P15" i="3"/>
  <c r="Q16" i="3"/>
  <c r="D25" i="3" l="1"/>
  <c r="D31" i="3"/>
  <c r="D44" i="3" s="1"/>
  <c r="Q18" i="3"/>
  <c r="O18" i="3" s="1"/>
  <c r="Q15" i="3"/>
  <c r="Q43" i="3"/>
  <c r="O43" i="3" s="1"/>
  <c r="Q41" i="3"/>
  <c r="O41" i="3" s="1"/>
  <c r="N20" i="3"/>
  <c r="L20" i="3"/>
  <c r="J20" i="3"/>
  <c r="H20" i="3"/>
  <c r="F20" i="3"/>
  <c r="N16" i="3"/>
  <c r="L16" i="3"/>
  <c r="J16" i="3"/>
  <c r="H16" i="3"/>
  <c r="F16" i="3"/>
  <c r="N30" i="3"/>
  <c r="L30" i="3"/>
  <c r="J30" i="3"/>
  <c r="H30" i="3"/>
  <c r="F30" i="3"/>
  <c r="N39" i="3"/>
  <c r="L39" i="3"/>
  <c r="J39" i="3"/>
  <c r="H39" i="3"/>
  <c r="F39" i="3"/>
  <c r="N35" i="3"/>
  <c r="H35" i="3"/>
  <c r="Q13" i="3"/>
  <c r="N13" i="3"/>
  <c r="L13" i="3"/>
  <c r="J13" i="3"/>
  <c r="H13" i="3"/>
  <c r="F13" i="3"/>
  <c r="N17" i="3"/>
  <c r="L17" i="3"/>
  <c r="J17" i="3"/>
  <c r="H17" i="3"/>
  <c r="F17" i="3"/>
  <c r="N26" i="3"/>
  <c r="L26" i="3"/>
  <c r="J26" i="3"/>
  <c r="H26" i="3"/>
  <c r="F26" i="3"/>
  <c r="Q32" i="3"/>
  <c r="N32" i="3"/>
  <c r="L32" i="3"/>
  <c r="J32" i="3"/>
  <c r="H32" i="3"/>
  <c r="F32" i="3"/>
  <c r="N14" i="3"/>
  <c r="L14" i="3"/>
  <c r="J14" i="3"/>
  <c r="H14" i="3"/>
  <c r="F14" i="3"/>
  <c r="N27" i="3"/>
  <c r="L27" i="3"/>
  <c r="J27" i="3"/>
  <c r="H27" i="3"/>
  <c r="F27" i="3"/>
  <c r="N37" i="3"/>
  <c r="L37" i="3"/>
  <c r="J37" i="3"/>
  <c r="H37" i="3"/>
  <c r="F37" i="3"/>
  <c r="N33" i="3"/>
  <c r="L33" i="3"/>
  <c r="J33" i="3"/>
  <c r="H33" i="3"/>
  <c r="F33" i="3"/>
  <c r="N19" i="3"/>
  <c r="L19" i="3"/>
  <c r="J19" i="3"/>
  <c r="H19" i="3"/>
  <c r="F19" i="3"/>
  <c r="N28" i="3"/>
  <c r="L28" i="3"/>
  <c r="J28" i="3"/>
  <c r="H28" i="3"/>
  <c r="F28" i="3"/>
  <c r="N42" i="3"/>
  <c r="L42" i="3"/>
  <c r="J42" i="3"/>
  <c r="H42" i="3"/>
  <c r="F42" i="3"/>
  <c r="N38" i="3"/>
  <c r="L38" i="3"/>
  <c r="J38" i="3"/>
  <c r="H38" i="3"/>
  <c r="F38" i="3"/>
  <c r="H34" i="3"/>
  <c r="N34" i="3"/>
  <c r="Q40" i="3"/>
  <c r="O40" i="3" s="1"/>
  <c r="Q36" i="3"/>
  <c r="O36" i="3" s="1"/>
  <c r="Q17" i="3"/>
  <c r="O15" i="3"/>
  <c r="Q30" i="3"/>
  <c r="Q27" i="3"/>
  <c r="P34" i="3" l="1"/>
  <c r="O34" i="3" s="1"/>
  <c r="F25" i="3"/>
  <c r="N25" i="3"/>
  <c r="H25" i="3"/>
  <c r="J25" i="3"/>
  <c r="L25" i="3"/>
  <c r="P30" i="3"/>
  <c r="O30" i="3" s="1"/>
  <c r="P28" i="3"/>
  <c r="O28" i="3" s="1"/>
  <c r="P27" i="3"/>
  <c r="O27" i="3" s="1"/>
  <c r="P26" i="3"/>
  <c r="O26" i="3" s="1"/>
  <c r="P16" i="3"/>
  <c r="O16" i="3" s="1"/>
  <c r="P42" i="3"/>
  <c r="O42" i="3" s="1"/>
  <c r="P37" i="3"/>
  <c r="O37" i="3" s="1"/>
  <c r="P38" i="3"/>
  <c r="O38" i="3" s="1"/>
  <c r="P33" i="3"/>
  <c r="O33" i="3" s="1"/>
  <c r="P32" i="3"/>
  <c r="O32" i="3" s="1"/>
  <c r="P13" i="3"/>
  <c r="O13" i="3" s="1"/>
  <c r="P39" i="3"/>
  <c r="O39" i="3" s="1"/>
  <c r="P19" i="3"/>
  <c r="O19" i="3" s="1"/>
  <c r="P14" i="3"/>
  <c r="O14" i="3" s="1"/>
  <c r="P17" i="3"/>
  <c r="O17" i="3" s="1"/>
  <c r="P35" i="3"/>
  <c r="O35" i="3" s="1"/>
  <c r="P20" i="3"/>
  <c r="O20" i="3" s="1"/>
  <c r="N31" i="3"/>
  <c r="M31" i="3"/>
  <c r="N12" i="3"/>
  <c r="N21" i="3" s="1"/>
  <c r="M12" i="3"/>
  <c r="M21" i="3" s="1"/>
  <c r="L31" i="3"/>
  <c r="K31" i="3"/>
  <c r="L12" i="3"/>
  <c r="L21" i="3" s="1"/>
  <c r="K12" i="3"/>
  <c r="K21" i="3" s="1"/>
  <c r="L11" i="3" l="1"/>
  <c r="D44" i="5"/>
  <c r="L22" i="3"/>
  <c r="L23" i="3" s="1"/>
  <c r="D55" i="5"/>
  <c r="N22" i="3"/>
  <c r="N23" i="3" s="1"/>
  <c r="N44" i="3"/>
  <c r="N24" i="3"/>
  <c r="L44" i="3"/>
  <c r="K24" i="3"/>
  <c r="M24" i="3"/>
  <c r="N11" i="3"/>
  <c r="M11" i="3"/>
  <c r="K11" i="3"/>
  <c r="L24" i="3"/>
  <c r="L47" i="3" l="1"/>
  <c r="N47" i="3"/>
  <c r="M47" i="3"/>
  <c r="D56" i="5"/>
  <c r="D54" i="5" s="1"/>
  <c r="D16" i="6" s="1"/>
  <c r="D45" i="5"/>
  <c r="F44" i="5"/>
  <c r="G44" i="5" s="1"/>
  <c r="L45" i="3"/>
  <c r="F45" i="5" s="1"/>
  <c r="F55" i="5"/>
  <c r="N45" i="3"/>
  <c r="K47" i="3"/>
  <c r="C25" i="3"/>
  <c r="C31" i="3"/>
  <c r="F12" i="3"/>
  <c r="F21" i="3" s="1"/>
  <c r="H12" i="3"/>
  <c r="H21" i="3" s="1"/>
  <c r="J12" i="3"/>
  <c r="J21" i="3" s="1"/>
  <c r="D12" i="3"/>
  <c r="D21" i="3" s="1"/>
  <c r="D22" i="3" s="1"/>
  <c r="E31" i="3"/>
  <c r="F31" i="3"/>
  <c r="G31" i="3"/>
  <c r="H31" i="3"/>
  <c r="I31" i="3"/>
  <c r="J31" i="3"/>
  <c r="C12" i="3"/>
  <c r="C11" i="3" s="1"/>
  <c r="E52" i="5"/>
  <c r="E74" i="5" s="1"/>
  <c r="G51" i="5"/>
  <c r="I51" i="5" s="1"/>
  <c r="E50" i="5"/>
  <c r="E72" i="5" s="1"/>
  <c r="E49" i="5"/>
  <c r="E71" i="5" s="1"/>
  <c r="E48" i="5"/>
  <c r="E70" i="5" s="1"/>
  <c r="G70" i="5" s="1"/>
  <c r="I70" i="5" s="1"/>
  <c r="E47" i="5"/>
  <c r="E69" i="5" s="1"/>
  <c r="E46" i="5"/>
  <c r="E68" i="5" s="1"/>
  <c r="C63" i="4"/>
  <c r="C60" i="4"/>
  <c r="G55" i="5" l="1"/>
  <c r="I55" i="5" s="1"/>
  <c r="D33" i="5"/>
  <c r="J22" i="3"/>
  <c r="D11" i="5"/>
  <c r="F22" i="3"/>
  <c r="D22" i="5"/>
  <c r="H22" i="3"/>
  <c r="F56" i="5"/>
  <c r="G56" i="5" s="1"/>
  <c r="I56" i="5" s="1"/>
  <c r="N46" i="3"/>
  <c r="L46" i="3"/>
  <c r="F41" i="5"/>
  <c r="G19" i="5"/>
  <c r="D43" i="5"/>
  <c r="D15" i="6" s="1"/>
  <c r="G45" i="5"/>
  <c r="I45" i="5" s="1"/>
  <c r="G52" i="5"/>
  <c r="J24" i="3"/>
  <c r="F24" i="3"/>
  <c r="H24" i="3"/>
  <c r="J44" i="3"/>
  <c r="F44" i="3"/>
  <c r="D24" i="3"/>
  <c r="J11" i="3"/>
  <c r="H11" i="3"/>
  <c r="F11" i="3"/>
  <c r="D11" i="3"/>
  <c r="D47" i="3" s="1"/>
  <c r="C24" i="3"/>
  <c r="C47" i="3" s="1"/>
  <c r="H44" i="3"/>
  <c r="I24" i="3"/>
  <c r="G24" i="3"/>
  <c r="E24" i="3"/>
  <c r="G12" i="3"/>
  <c r="E12" i="3"/>
  <c r="I12" i="3"/>
  <c r="G37" i="5"/>
  <c r="I37" i="5" s="1"/>
  <c r="I44" i="5"/>
  <c r="F30" i="5"/>
  <c r="F74" i="5" s="1"/>
  <c r="G74" i="5" s="1"/>
  <c r="G40" i="5"/>
  <c r="G41" i="5"/>
  <c r="G48" i="5"/>
  <c r="I48" i="5" s="1"/>
  <c r="C79" i="4"/>
  <c r="H47" i="3" l="1"/>
  <c r="F47" i="3"/>
  <c r="J47" i="3"/>
  <c r="D66" i="5"/>
  <c r="I40" i="5"/>
  <c r="F33" i="5"/>
  <c r="G33" i="5" s="1"/>
  <c r="I33" i="5" s="1"/>
  <c r="J45" i="3"/>
  <c r="F34" i="5" s="1"/>
  <c r="F22" i="5"/>
  <c r="G22" i="5" s="1"/>
  <c r="I22" i="5" s="1"/>
  <c r="H45" i="3"/>
  <c r="F23" i="5" s="1"/>
  <c r="D45" i="3"/>
  <c r="F11" i="5"/>
  <c r="F45" i="3"/>
  <c r="D23" i="5"/>
  <c r="D12" i="5"/>
  <c r="D34" i="5"/>
  <c r="G26" i="5"/>
  <c r="I26" i="5" s="1"/>
  <c r="G30" i="5"/>
  <c r="G63" i="5"/>
  <c r="I21" i="3"/>
  <c r="I11" i="3"/>
  <c r="I47" i="3" s="1"/>
  <c r="G21" i="3"/>
  <c r="G11" i="3"/>
  <c r="G47" i="3" s="1"/>
  <c r="E21" i="3"/>
  <c r="E11" i="3"/>
  <c r="E47" i="3" s="1"/>
  <c r="D23" i="3"/>
  <c r="D67" i="5" l="1"/>
  <c r="F66" i="5"/>
  <c r="G66" i="5" s="1"/>
  <c r="I66" i="5" s="1"/>
  <c r="F12" i="5"/>
  <c r="F67" i="5" s="1"/>
  <c r="F46" i="3"/>
  <c r="D32" i="5"/>
  <c r="D14" i="6" s="1"/>
  <c r="G34" i="5"/>
  <c r="I34" i="5" s="1"/>
  <c r="D10" i="5"/>
  <c r="D12" i="6" s="1"/>
  <c r="D21" i="5"/>
  <c r="D13" i="6" s="1"/>
  <c r="G23" i="5"/>
  <c r="I23" i="5" s="1"/>
  <c r="G11" i="5"/>
  <c r="D46" i="3"/>
  <c r="H46" i="3"/>
  <c r="J46" i="3"/>
  <c r="F23" i="3"/>
  <c r="G12" i="5" l="1"/>
  <c r="I12" i="5" s="1"/>
  <c r="G67" i="5"/>
  <c r="I67" i="5" s="1"/>
  <c r="D17" i="6"/>
  <c r="D65" i="5"/>
  <c r="I11" i="5"/>
  <c r="H23" i="3"/>
  <c r="J23" i="3"/>
  <c r="K7" i="1" l="1"/>
  <c r="C13" i="4" s="1"/>
  <c r="C12" i="4"/>
  <c r="D30" i="2"/>
  <c r="D17" i="2"/>
  <c r="D8" i="2"/>
  <c r="D31" i="2" l="1"/>
  <c r="D60" i="4"/>
  <c r="D63" i="4"/>
  <c r="L7" i="1"/>
  <c r="C25" i="4" s="1"/>
  <c r="C55" i="4" s="1"/>
  <c r="D55" i="4" l="1"/>
  <c r="C74" i="4"/>
  <c r="J13" i="1"/>
  <c r="J21" i="1"/>
  <c r="J9" i="1"/>
  <c r="L13" i="1" l="1"/>
  <c r="C40" i="4"/>
  <c r="C29" i="4"/>
  <c r="C58" i="4" s="1"/>
  <c r="J7" i="1"/>
  <c r="J5" i="1"/>
  <c r="J17" i="1"/>
  <c r="L17" i="1" s="1"/>
  <c r="C80" i="4" l="1"/>
  <c r="C61" i="4"/>
  <c r="L5" i="1"/>
  <c r="C24" i="4" s="1"/>
  <c r="C54" i="4" s="1"/>
  <c r="C73" i="4" s="1"/>
  <c r="F29" i="5"/>
  <c r="G29" i="5" s="1"/>
  <c r="I29" i="5" s="1"/>
  <c r="F62" i="5"/>
  <c r="G62" i="5" s="1"/>
  <c r="I62" i="5" s="1"/>
  <c r="C45" i="4"/>
  <c r="G15" i="5"/>
  <c r="C77" i="4"/>
  <c r="D58" i="4"/>
  <c r="J8" i="1"/>
  <c r="L8" i="1" s="1"/>
  <c r="J6" i="1"/>
  <c r="L6" i="1" s="1"/>
  <c r="J14" i="1"/>
  <c r="L14" i="1" s="1"/>
  <c r="F17" i="5" s="1"/>
  <c r="J16" i="1"/>
  <c r="L16" i="1" s="1"/>
  <c r="F18" i="5" s="1"/>
  <c r="J18" i="1"/>
  <c r="L18" i="1" s="1"/>
  <c r="J20" i="1"/>
  <c r="J22" i="1"/>
  <c r="J12" i="1"/>
  <c r="L12" i="1" s="1"/>
  <c r="C70" i="4"/>
  <c r="F73" i="5" l="1"/>
  <c r="G73" i="5" s="1"/>
  <c r="I73" i="5" s="1"/>
  <c r="G18" i="5"/>
  <c r="D54" i="4"/>
  <c r="C33" i="4"/>
  <c r="D61" i="4"/>
  <c r="C50" i="4"/>
  <c r="C62" i="4" s="1"/>
  <c r="C81" i="4" s="1"/>
  <c r="H19" i="5"/>
  <c r="C82" i="4"/>
  <c r="F61" i="5"/>
  <c r="G61" i="5" s="1"/>
  <c r="I61" i="5" s="1"/>
  <c r="F50" i="5"/>
  <c r="G50" i="5" s="1"/>
  <c r="I50" i="5" s="1"/>
  <c r="F39" i="5"/>
  <c r="G39" i="5" s="1"/>
  <c r="I39" i="5" s="1"/>
  <c r="G17" i="5"/>
  <c r="F28" i="5"/>
  <c r="G28" i="5" s="1"/>
  <c r="I28" i="5" s="1"/>
  <c r="F14" i="5"/>
  <c r="C27" i="4"/>
  <c r="C57" i="4" s="1"/>
  <c r="I15" i="5"/>
  <c r="K20" i="1"/>
  <c r="C15" i="4" s="1"/>
  <c r="C68" i="4"/>
  <c r="F13" i="5"/>
  <c r="C48" i="4"/>
  <c r="C56" i="4" s="1"/>
  <c r="E20" i="5" l="1"/>
  <c r="C83" i="4"/>
  <c r="F72" i="5"/>
  <c r="G72" i="5" s="1"/>
  <c r="I72" i="5" s="1"/>
  <c r="C31" i="4"/>
  <c r="C32" i="4"/>
  <c r="C75" i="4"/>
  <c r="D56" i="4"/>
  <c r="D64" i="4"/>
  <c r="K24" i="1"/>
  <c r="C76" i="4"/>
  <c r="D57" i="4"/>
  <c r="I17" i="5"/>
  <c r="D62" i="4"/>
  <c r="F46" i="5"/>
  <c r="G13" i="5"/>
  <c r="F24" i="5"/>
  <c r="F57" i="5"/>
  <c r="F35" i="5"/>
  <c r="F53" i="5"/>
  <c r="G20" i="5"/>
  <c r="I31" i="5"/>
  <c r="F47" i="5"/>
  <c r="G47" i="5" s="1"/>
  <c r="I47" i="5" s="1"/>
  <c r="F58" i="5"/>
  <c r="G58" i="5" s="1"/>
  <c r="I58" i="5" s="1"/>
  <c r="G14" i="5"/>
  <c r="F36" i="5"/>
  <c r="G36" i="5" s="1"/>
  <c r="I36" i="5" s="1"/>
  <c r="F25" i="5"/>
  <c r="G25" i="5" s="1"/>
  <c r="I25" i="5" s="1"/>
  <c r="H63" i="5"/>
  <c r="I63" i="5" s="1"/>
  <c r="H52" i="5"/>
  <c r="I52" i="5" s="1"/>
  <c r="H30" i="5"/>
  <c r="I19" i="5"/>
  <c r="F68" i="5" l="1"/>
  <c r="G68" i="5" s="1"/>
  <c r="I68" i="5" s="1"/>
  <c r="F69" i="5"/>
  <c r="G69" i="5" s="1"/>
  <c r="I69" i="5" s="1"/>
  <c r="E31" i="5"/>
  <c r="E21" i="5" s="1"/>
  <c r="E13" i="6" s="1"/>
  <c r="C13" i="6" s="1"/>
  <c r="K13" i="6" s="1"/>
  <c r="E64" i="5"/>
  <c r="E54" i="5" s="1"/>
  <c r="E16" i="6" s="1"/>
  <c r="E53" i="5"/>
  <c r="E43" i="5" s="1"/>
  <c r="E15" i="6" s="1"/>
  <c r="C15" i="6" s="1"/>
  <c r="K15" i="6" s="1"/>
  <c r="E42" i="5"/>
  <c r="E32" i="5" s="1"/>
  <c r="E14" i="6" s="1"/>
  <c r="C14" i="6" s="1"/>
  <c r="K14" i="6" s="1"/>
  <c r="E10" i="5"/>
  <c r="E12" i="6" s="1"/>
  <c r="C12" i="6" s="1"/>
  <c r="K12" i="6" s="1"/>
  <c r="I53" i="5"/>
  <c r="F64" i="5"/>
  <c r="F75" i="5" s="1"/>
  <c r="H41" i="5"/>
  <c r="I41" i="5" s="1"/>
  <c r="I30" i="5"/>
  <c r="I14" i="5"/>
  <c r="I64" i="5"/>
  <c r="I20" i="5"/>
  <c r="G35" i="5"/>
  <c r="G24" i="5"/>
  <c r="G46" i="5"/>
  <c r="I42" i="5"/>
  <c r="G57" i="5"/>
  <c r="I57" i="5" s="1"/>
  <c r="I13" i="5"/>
  <c r="I18" i="5"/>
  <c r="E75" i="5" l="1"/>
  <c r="E65" i="5" s="1"/>
  <c r="H74" i="5"/>
  <c r="I74" i="5" s="1"/>
  <c r="C16" i="6"/>
  <c r="K16" i="6" s="1"/>
  <c r="E17" i="6"/>
  <c r="C17" i="6" s="1"/>
  <c r="K17" i="6" s="1"/>
  <c r="I24" i="5"/>
  <c r="I35" i="5"/>
  <c r="I46" i="5"/>
  <c r="G75" i="5" l="1"/>
  <c r="I75" i="5"/>
  <c r="L24" i="1"/>
  <c r="C35" i="4"/>
  <c r="D65" i="4"/>
  <c r="M24" i="1"/>
  <c r="H16" i="5"/>
  <c r="J24" i="1"/>
  <c r="F16" i="5"/>
  <c r="F10" i="5" l="1"/>
  <c r="F12" i="6" s="1"/>
  <c r="D59" i="4"/>
  <c r="D66" i="4" s="1"/>
  <c r="C69" i="4"/>
  <c r="C78" i="4" s="1"/>
  <c r="C84" i="4" s="1"/>
  <c r="F49" i="5"/>
  <c r="C66" i="4"/>
  <c r="H27" i="5"/>
  <c r="F38" i="5"/>
  <c r="F60" i="5"/>
  <c r="H60" i="5"/>
  <c r="H54" i="5" s="1"/>
  <c r="I16" i="6" s="1"/>
  <c r="H10" i="5"/>
  <c r="I12" i="6" s="1"/>
  <c r="G16" i="5"/>
  <c r="F27" i="5"/>
  <c r="H49" i="5"/>
  <c r="H43" i="5" s="1"/>
  <c r="I15" i="6" s="1"/>
  <c r="F71" i="5" l="1"/>
  <c r="G71" i="5" s="1"/>
  <c r="G12" i="6"/>
  <c r="L12" i="6"/>
  <c r="M12" i="6" s="1"/>
  <c r="G60" i="5"/>
  <c r="F54" i="5"/>
  <c r="F16" i="6" s="1"/>
  <c r="G27" i="5"/>
  <c r="F21" i="5"/>
  <c r="F13" i="6" s="1"/>
  <c r="I16" i="5"/>
  <c r="G10" i="5"/>
  <c r="I10" i="5" s="1"/>
  <c r="F32" i="5"/>
  <c r="F14" i="6" s="1"/>
  <c r="L14" i="6" s="1"/>
  <c r="G38" i="5"/>
  <c r="G49" i="5"/>
  <c r="F43" i="5"/>
  <c r="F15" i="6" s="1"/>
  <c r="L15" i="6" s="1"/>
  <c r="H21" i="5"/>
  <c r="I13" i="6" s="1"/>
  <c r="H38" i="5"/>
  <c r="H71" i="5" s="1"/>
  <c r="C71" i="4"/>
  <c r="G16" i="6" l="1"/>
  <c r="J16" i="6" s="1"/>
  <c r="L16" i="6"/>
  <c r="I71" i="5"/>
  <c r="I65" i="5" s="1"/>
  <c r="G13" i="6"/>
  <c r="J13" i="6" s="1"/>
  <c r="L13" i="6"/>
  <c r="M13" i="6" s="1"/>
  <c r="J12" i="6"/>
  <c r="N12" i="6" s="1"/>
  <c r="F65" i="5"/>
  <c r="F17" i="6"/>
  <c r="G14" i="6"/>
  <c r="M14" i="6"/>
  <c r="M15" i="6"/>
  <c r="G15" i="6"/>
  <c r="G21" i="5"/>
  <c r="I21" i="5" s="1"/>
  <c r="I27" i="5"/>
  <c r="M16" i="6"/>
  <c r="G43" i="5"/>
  <c r="I49" i="5"/>
  <c r="I43" i="5" s="1"/>
  <c r="H32" i="5"/>
  <c r="I14" i="6" s="1"/>
  <c r="I17" i="6" s="1"/>
  <c r="H65" i="5"/>
  <c r="I38" i="5"/>
  <c r="I32" i="5" s="1"/>
  <c r="G32" i="5"/>
  <c r="G65" i="5"/>
  <c r="I60" i="5"/>
  <c r="I54" i="5" s="1"/>
  <c r="G54" i="5"/>
  <c r="J14" i="6" l="1"/>
  <c r="N14" i="6" s="1"/>
  <c r="L17" i="6"/>
  <c r="M17" i="6" s="1"/>
  <c r="G17" i="6"/>
  <c r="K65" i="5"/>
  <c r="N13" i="6"/>
  <c r="J15" i="6"/>
  <c r="N15" i="6" s="1"/>
  <c r="N16" i="6"/>
  <c r="J17" i="6" l="1"/>
  <c r="N17" i="6" s="1"/>
</calcChain>
</file>

<file path=xl/sharedStrings.xml><?xml version="1.0" encoding="utf-8"?>
<sst xmlns="http://schemas.openxmlformats.org/spreadsheetml/2006/main" count="495" uniqueCount="203">
  <si>
    <t>Код 
муниципальной 
услуги</t>
  </si>
  <si>
    <t>Рз/Пр</t>
  </si>
  <si>
    <t>КОСГУ</t>
  </si>
  <si>
    <t>Суб
КОСГУ</t>
  </si>
  <si>
    <t>Тип
средств</t>
  </si>
  <si>
    <t>в том числе</t>
  </si>
  <si>
    <t>Затраты на содержание имущества</t>
  </si>
  <si>
    <t>Затраты на 
услуги (работы)</t>
  </si>
  <si>
    <t>Прямые</t>
  </si>
  <si>
    <t>Общехозяйственные</t>
  </si>
  <si>
    <t>001</t>
  </si>
  <si>
    <t>08.01</t>
  </si>
  <si>
    <t>01.00.00</t>
  </si>
  <si>
    <t>№ п/п</t>
  </si>
  <si>
    <t xml:space="preserve">Наименование должности/ 
категории
</t>
  </si>
  <si>
    <t>Всего годовой ФОТ</t>
  </si>
  <si>
    <t>Директор</t>
  </si>
  <si>
    <t>Заместитель директора по финансово-экономическим вопросам</t>
  </si>
  <si>
    <t>Заместитель директора</t>
  </si>
  <si>
    <t>Начальник хозяйственного отдела</t>
  </si>
  <si>
    <t>Итого АУП</t>
  </si>
  <si>
    <t>Инженер</t>
  </si>
  <si>
    <t>Архивариус</t>
  </si>
  <si>
    <t>Специалист по охране труда</t>
  </si>
  <si>
    <t>Инженер-механик</t>
  </si>
  <si>
    <t>Специалист по кадрам</t>
  </si>
  <si>
    <t>Мастер леса</t>
  </si>
  <si>
    <t>Лесник</t>
  </si>
  <si>
    <t>Итого специалистов</t>
  </si>
  <si>
    <t>Рабочий зеленого хозяйства</t>
  </si>
  <si>
    <t>Рабочий по комплексному обслуживанию здания</t>
  </si>
  <si>
    <t>Водитель автомобиля</t>
  </si>
  <si>
    <t>Водитель погрузчика</t>
  </si>
  <si>
    <t>Уборщик служебных помещений</t>
  </si>
  <si>
    <t>Слесарь-ремонтник</t>
  </si>
  <si>
    <t>Слесарь-электрик по ремонту электрооборудования</t>
  </si>
  <si>
    <t>Техник</t>
  </si>
  <si>
    <t>Сторож</t>
  </si>
  <si>
    <t>Вахтер</t>
  </si>
  <si>
    <t>Плотник</t>
  </si>
  <si>
    <t>Дворник</t>
  </si>
  <si>
    <t>Итого МОП</t>
  </si>
  <si>
    <t>Всего</t>
  </si>
  <si>
    <t>прямые затраты</t>
  </si>
  <si>
    <t>НЕТ</t>
  </si>
  <si>
    <t>нет</t>
  </si>
  <si>
    <t>да</t>
  </si>
  <si>
    <t>ДА</t>
  </si>
  <si>
    <t>зп</t>
  </si>
  <si>
    <t>начис</t>
  </si>
  <si>
    <t>Субсидия на выполнение муниципального задания по оказанию муниципальной услуги 
"ГОРЛЕС"</t>
  </si>
  <si>
    <t>Приложение 1</t>
  </si>
  <si>
    <t>к Порядку определения нормативных затрат</t>
  </si>
  <si>
    <t>на оказание муниципальной услуги и нормативных затрат</t>
  </si>
  <si>
    <t>на содержание имущества муниципальных учреждений</t>
  </si>
  <si>
    <t>РАСЧЕТ 
нормативных затрат на оплату труда и начисления на оплату труда персонала, 
принимающего непосредственное участие в оказании муниципальной услуги</t>
  </si>
  <si>
    <t>Наименование должности</t>
  </si>
  <si>
    <t>Штатная численность (ед.)</t>
  </si>
  <si>
    <t>Годовой фонд оплаты труда за счет средств бюджета (тыс. руб.)</t>
  </si>
  <si>
    <t>В том числе по муниципальным услугам</t>
  </si>
  <si>
    <t>Затраты на оплату труда (тыс. руб.)</t>
  </si>
  <si>
    <t>Основной персонал (категория персонала, должность), в том числе:</t>
  </si>
  <si>
    <t>1.1.</t>
  </si>
  <si>
    <t>Специалисты</t>
  </si>
  <si>
    <t>Итого оплата труда основного персонала:</t>
  </si>
  <si>
    <t>Начисления на выплаты по оплате труда основного персонала</t>
  </si>
  <si>
    <t>х</t>
  </si>
  <si>
    <t>Итого оплата труда с начислениями</t>
  </si>
  <si>
    <t>Вспомогательный персонал (категория персонала, должность) в том числе:</t>
  </si>
  <si>
    <t>2.1.</t>
  </si>
  <si>
    <t>АУП</t>
  </si>
  <si>
    <t>2.2.</t>
  </si>
  <si>
    <t>Итого оплата труда вспомогательного персонала:</t>
  </si>
  <si>
    <t>Начисления на выплаты по оплате труда вспомогательного персонала</t>
  </si>
  <si>
    <t>Приложение 2</t>
  </si>
  <si>
    <t>Распределение нормативных затрат в соответствии с КОСГУ, исчисленных нормативным и структурным методами в пределах лимитов бюджетных 
ассигнований на планируемый период</t>
  </si>
  <si>
    <t>Наименование статей расходов</t>
  </si>
  <si>
    <t>Лимиты бюджетных ассигнований, тыс. руб.</t>
  </si>
  <si>
    <t>Доля затрат, пропорционально относимых к оплате труда и начислениям основного персонала, %</t>
  </si>
  <si>
    <t>1. Нормативные затраты на оказание муниципальной услуги</t>
  </si>
  <si>
    <t>1.1.Нормативные затраты непосредственно связанные с оказанием муниципальной услуги</t>
  </si>
  <si>
    <t>1.1.1. Нормативные затраты на оплату труда и начисления на выплаты по оплате труда основного персонала</t>
  </si>
  <si>
    <t>Оплата труда</t>
  </si>
  <si>
    <t>Начисления на оплату труда</t>
  </si>
  <si>
    <t>1.1.2.      Нормативные затраты на приобретение материальных запасов</t>
  </si>
  <si>
    <t>Приобретение расходных материалов</t>
  </si>
  <si>
    <t xml:space="preserve">1.1.3.Иные нормативные затраты </t>
  </si>
  <si>
    <t>Прочие выплаты</t>
  </si>
  <si>
    <t>Транспортные услуги</t>
  </si>
  <si>
    <t>Прочие работы, услуги</t>
  </si>
  <si>
    <t>Прочие расходы</t>
  </si>
  <si>
    <t>1.2.Нормативные затраты на общехозяйственные нужды</t>
  </si>
  <si>
    <t>1.2.1. Нормативные затраты на оплату труда и начисления на выплаты по оплате труда работников, которые не принимают непосредственного участия в оказании муниципальной услуги</t>
  </si>
  <si>
    <t>1.2.2.Нормативные затраты на оказание услуг связи</t>
  </si>
  <si>
    <t>Услуги связи</t>
  </si>
  <si>
    <t>1.2.3.Нормативные затраты на приобретение транспортных услуг</t>
  </si>
  <si>
    <t>1.2.4.Нормативные затраты на коммунальные услуги</t>
  </si>
  <si>
    <t>Холодное водоснабжение</t>
  </si>
  <si>
    <t>Горячее водоснабжение</t>
  </si>
  <si>
    <t>Водоотведение</t>
  </si>
  <si>
    <t>Потребление тепловой энергии (50% от общих затрат)</t>
  </si>
  <si>
    <t>Потребление электрической энергии (90% от общих затрат)</t>
  </si>
  <si>
    <t>1.2.5.Нормативные затраты на содержание недвижимого имущества</t>
  </si>
  <si>
    <t>Эксплуатация системы охранной сигнализации и противопожарной безопасности</t>
  </si>
  <si>
    <t>Проведение текущего ремонта объектов недвижимости</t>
  </si>
  <si>
    <t>Аренда недвижимого имущества</t>
  </si>
  <si>
    <t>Содержание прилегающей территории, в соответствии с утвержденными санитарными правилами и нормами</t>
  </si>
  <si>
    <t>Прочие нормативные затраты на содержание недвижимого имущества (расшифровать)</t>
  </si>
  <si>
    <t>1.2.6.Нормативные затраты на содержание особо ценного движимого имущества</t>
  </si>
  <si>
    <t>Техническое обслуживание и текущий ремонт</t>
  </si>
  <si>
    <t>Материальные запасы не связанные с оказанием муниципальной услуги</t>
  </si>
  <si>
    <t>Страхование ОСАГО</t>
  </si>
  <si>
    <t>Прочие затраты (расшифровать)</t>
  </si>
  <si>
    <t>1.2.7.Прочие нормативные затраты на общехозяйственные нужды</t>
  </si>
  <si>
    <t>Аренда имущества</t>
  </si>
  <si>
    <t>Итого затраты на общехозяйственные нужды, в т.ч.</t>
  </si>
  <si>
    <t>Начисления на выплаты по оплате труда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</si>
  <si>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</si>
  <si>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</si>
  <si>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</si>
  <si>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</si>
  <si>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Итого</t>
  </si>
  <si>
    <t>Всего по разделу 1</t>
  </si>
  <si>
    <t>2.Определение нормативных затрат на содержание имущества муниципального учреждения</t>
  </si>
  <si>
    <t>Потребление электрической энергии (10% от общих затрат)</t>
  </si>
  <si>
    <t>Налог на имущество, земельный налог</t>
  </si>
  <si>
    <t>Всего по разделу 2</t>
  </si>
  <si>
    <t>ИТОГО утвержденные лимиты бюджетных ассигнований в разрезе КОСГУ</t>
  </si>
  <si>
    <t>Итого расходов по 1 и 2 разделам</t>
  </si>
  <si>
    <t>Приложение 3</t>
  </si>
  <si>
    <t>Исходные данные и результаты расчетов объемов нормативных затрат  на оказание муниципальных услуг в разрезе КОСГУ</t>
  </si>
  <si>
    <t>№</t>
  </si>
  <si>
    <t>Наименование муниципальной услуги</t>
  </si>
  <si>
    <t>Нормативные затраты на оплату труда и начисления на выплату по оплате труда</t>
  </si>
  <si>
    <t>Нормативные затраты на материальные запасы и иные</t>
  </si>
  <si>
    <t>Затраты на общехозяйственные нужды</t>
  </si>
  <si>
    <t>Итого нормативные затраты на оказание муниципальной услуги</t>
  </si>
  <si>
    <t>Сумма финансового обеспечения выполнения муниципального задания</t>
  </si>
  <si>
    <t>7 = сумма граф 4,5,6</t>
  </si>
  <si>
    <t>9 = сумма граф 7,8</t>
  </si>
  <si>
    <t>Итого:</t>
  </si>
  <si>
    <t>Приложение 4</t>
  </si>
  <si>
    <r>
      <t xml:space="preserve">Исходные данные и результаты расчетов объема нормативных затрат на единицу оказания муниципальной услуги и нормативных затрат на содержание имущества 
</t>
    </r>
    <r>
      <rPr>
        <b/>
        <u/>
        <sz val="10"/>
        <color indexed="8"/>
        <rFont val="Times New Roman"/>
        <family val="1"/>
        <charset val="204"/>
      </rPr>
      <t>МБУ "ФСК "Юность"</t>
    </r>
    <r>
      <rPr>
        <b/>
        <sz val="10"/>
        <color indexed="8"/>
        <rFont val="Times New Roman"/>
        <family val="1"/>
        <charset val="204"/>
      </rPr>
      <t xml:space="preserve">  
на 2015 год и плановый период 2016 и 2017 годов</t>
    </r>
  </si>
  <si>
    <t>Единица измерения показателя объема</t>
  </si>
  <si>
    <t>Нормативные затраты, непосредственно связанные с оказанием муниципальной услуги</t>
  </si>
  <si>
    <t>В том числе</t>
  </si>
  <si>
    <t>Объем муниципальной услуги</t>
  </si>
  <si>
    <t>Нормативные затраты на единицу услуги</t>
  </si>
  <si>
    <t>Нормативные затраты на оплату труда и начисления на выплаты по оплате труда</t>
  </si>
  <si>
    <t>Нормативные затраты непосредственно связанные с оказанием муниципальной услуги</t>
  </si>
  <si>
    <t>Итого нормативные затраты на выполнение муниципальной услуги</t>
  </si>
  <si>
    <t>Тыс. руб.</t>
  </si>
  <si>
    <t>Ед.</t>
  </si>
  <si>
    <t>руб.</t>
  </si>
  <si>
    <t xml:space="preserve"> руб.</t>
  </si>
  <si>
    <t>1а</t>
  </si>
  <si>
    <t>2а</t>
  </si>
  <si>
    <t>2б</t>
  </si>
  <si>
    <t>8=гр.2/гр.5</t>
  </si>
  <si>
    <t>9=гр.3/гр.5</t>
  </si>
  <si>
    <t>10=гр.8+гр.9</t>
  </si>
  <si>
    <t>Итого отчетный финансовый год</t>
  </si>
  <si>
    <t>Услуга №1</t>
  </si>
  <si>
    <t>Услуга №2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</si>
  <si>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</si>
  <si>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</si>
  <si>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</si>
  <si>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</si>
  <si>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t>Рабочие</t>
  </si>
  <si>
    <t>Итого по организации</t>
  </si>
  <si>
    <t>Муниципальная работа 
"Тушение лесных пожаров"</t>
  </si>
  <si>
    <t>Муниципальная работа "Устройство, прочистка и обновление противопожарных минерализованных полос"</t>
  </si>
  <si>
    <t>Муниципальная работа "Снижение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мероприятий"</t>
  </si>
  <si>
    <t>Муниципальная работа 
"Обеспечение соблюдения лесного законодательства, выявление нарушений и принятие мер в соответствии с законодательством"</t>
  </si>
  <si>
    <t>Расходы на содержание имущества</t>
  </si>
  <si>
    <t>Муниципальная работа "Установка и размещение стендов и других знаков и указателей, содержащих информацию о мерах пожарной безопасности в лесах"</t>
  </si>
  <si>
    <t>один из них 30% интенсивность</t>
  </si>
  <si>
    <t>единица</t>
  </si>
  <si>
    <t>гектар</t>
  </si>
  <si>
    <t>километров</t>
  </si>
  <si>
    <t>Итого базовые нормативные затраты на оказание муниципальной услуги</t>
  </si>
  <si>
    <t>Значение отраслевого коэффициента</t>
  </si>
  <si>
    <t>11=гр.4/гр.7</t>
  </si>
  <si>
    <t xml:space="preserve">  </t>
  </si>
  <si>
    <t>Начальник участка</t>
  </si>
  <si>
    <t>по МАУ "Городское лесничество" на 2018 год</t>
  </si>
  <si>
    <t xml:space="preserve"> </t>
  </si>
  <si>
    <t>Инженер паркового хозяйства</t>
  </si>
  <si>
    <t>КВР</t>
  </si>
  <si>
    <t>Код субсидии</t>
  </si>
  <si>
    <t>070.10.0001</t>
  </si>
  <si>
    <t>070.10.0011</t>
  </si>
  <si>
    <t>ИТОГО:</t>
  </si>
  <si>
    <t xml:space="preserve"> МАУ "Городское лесничество"</t>
  </si>
  <si>
    <t>Тел. 74805</t>
  </si>
  <si>
    <t>Тел.74805</t>
  </si>
  <si>
    <t>(подпись)</t>
  </si>
  <si>
    <t>(расшифровка подписи)</t>
  </si>
  <si>
    <t>Т.В.Габдрафикова</t>
  </si>
  <si>
    <t xml:space="preserve">                                                                     (подпись)</t>
  </si>
  <si>
    <t>Исполнитель: Зам. директора по ФЭВ   __________________</t>
  </si>
  <si>
    <t>Исполнитель: Зам.директора по ФЭВ</t>
  </si>
  <si>
    <t>Исполнитель: Зам. директора по ФЭВ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</si>
</sst>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9">
    <xf numFmtId="0" fontId="0" fillId="0" borderId="0" xfId="0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/>
    <xf numFmtId="0" fontId="5" fillId="0" borderId="0" xfId="0" applyFont="1" applyBorder="1" applyAlignment="1">
      <alignment horizontal="center" vertical="center"/>
    </xf>
    <xf numFmtId="22" fontId="5" fillId="0" borderId="0" xfId="0" applyNumberFormat="1" applyFont="1" applyBorder="1" applyAlignment="1"/>
    <xf numFmtId="4" fontId="5" fillId="2" borderId="2" xfId="0" applyNumberFormat="1" applyFont="1" applyFill="1" applyBorder="1" applyAlignment="1"/>
    <xf numFmtId="4" fontId="0" fillId="0" borderId="0" xfId="0" applyNumberFormat="1"/>
    <xf numFmtId="0" fontId="0" fillId="0" borderId="2" xfId="0" applyBorder="1"/>
    <xf numFmtId="0" fontId="0" fillId="3" borderId="2" xfId="0" applyFill="1" applyBorder="1"/>
    <xf numFmtId="0" fontId="7" fillId="0" borderId="2" xfId="0" applyFont="1" applyBorder="1"/>
    <xf numFmtId="0" fontId="0" fillId="4" borderId="2" xfId="0" applyFill="1" applyBorder="1"/>
    <xf numFmtId="0" fontId="0" fillId="2" borderId="2" xfId="0" applyFill="1" applyBorder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Border="1" applyAlignment="1"/>
    <xf numFmtId="4" fontId="5" fillId="2" borderId="3" xfId="0" applyNumberFormat="1" applyFont="1" applyFill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7" xfId="0" applyFont="1" applyBorder="1"/>
    <xf numFmtId="164" fontId="14" fillId="0" borderId="2" xfId="0" applyNumberFormat="1" applyFont="1" applyFill="1" applyBorder="1" applyAlignment="1">
      <alignment horizontal="center" vertical="center" shrinkToFit="1"/>
    </xf>
    <xf numFmtId="164" fontId="16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16" fillId="2" borderId="2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164" fontId="16" fillId="0" borderId="2" xfId="0" applyNumberFormat="1" applyFont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0" fontId="16" fillId="0" borderId="12" xfId="0" applyFont="1" applyBorder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2" borderId="0" xfId="0" applyFont="1" applyFill="1"/>
    <xf numFmtId="0" fontId="19" fillId="0" borderId="0" xfId="0" applyFont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0" xfId="0" applyFont="1"/>
    <xf numFmtId="0" fontId="10" fillId="0" borderId="1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/>
    <xf numFmtId="165" fontId="21" fillId="2" borderId="2" xfId="0" applyNumberFormat="1" applyFont="1" applyFill="1" applyBorder="1" applyAlignment="1">
      <alignment horizontal="center" vertical="center" wrapText="1"/>
    </xf>
    <xf numFmtId="4" fontId="19" fillId="0" borderId="0" xfId="0" applyNumberFormat="1" applyFont="1"/>
    <xf numFmtId="0" fontId="18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3" xfId="0" applyFont="1" applyBorder="1"/>
    <xf numFmtId="165" fontId="0" fillId="0" borderId="0" xfId="0" applyNumberFormat="1"/>
    <xf numFmtId="2" fontId="0" fillId="0" borderId="0" xfId="0" applyNumberFormat="1"/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 wrapText="1"/>
    </xf>
    <xf numFmtId="164" fontId="8" fillId="7" borderId="2" xfId="0" applyNumberFormat="1" applyFont="1" applyFill="1" applyBorder="1" applyAlignment="1">
      <alignment horizontal="center" vertical="center"/>
    </xf>
    <xf numFmtId="164" fontId="8" fillId="7" borderId="11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vertical="center" wrapText="1"/>
    </xf>
    <xf numFmtId="0" fontId="0" fillId="6" borderId="2" xfId="0" applyFill="1" applyBorder="1"/>
    <xf numFmtId="164" fontId="15" fillId="6" borderId="2" xfId="0" applyNumberFormat="1" applyFont="1" applyFill="1" applyBorder="1" applyAlignment="1">
      <alignment horizontal="center" vertical="center"/>
    </xf>
    <xf numFmtId="0" fontId="16" fillId="7" borderId="7" xfId="0" applyFont="1" applyFill="1" applyBorder="1"/>
    <xf numFmtId="0" fontId="16" fillId="7" borderId="2" xfId="0" applyFont="1" applyFill="1" applyBorder="1" applyAlignment="1">
      <alignment wrapText="1"/>
    </xf>
    <xf numFmtId="164" fontId="16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/>
    </xf>
    <xf numFmtId="3" fontId="8" fillId="7" borderId="2" xfId="0" applyNumberFormat="1" applyFont="1" applyFill="1" applyBorder="1" applyAlignment="1">
      <alignment horizontal="center" vertical="center"/>
    </xf>
    <xf numFmtId="3" fontId="8" fillId="7" borderId="11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4" fontId="16" fillId="6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165" fontId="16" fillId="6" borderId="2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wrapText="1"/>
    </xf>
    <xf numFmtId="0" fontId="16" fillId="7" borderId="3" xfId="0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28" xfId="0" applyNumberFormat="1" applyFont="1" applyFill="1" applyBorder="1" applyAlignment="1">
      <alignment horizontal="center" vertical="center"/>
    </xf>
    <xf numFmtId="164" fontId="8" fillId="7" borderId="13" xfId="0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2" fontId="8" fillId="7" borderId="13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24" fillId="0" borderId="0" xfId="0" applyFont="1"/>
    <xf numFmtId="164" fontId="24" fillId="0" borderId="0" xfId="0" applyNumberFormat="1" applyFont="1"/>
    <xf numFmtId="0" fontId="10" fillId="2" borderId="1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21" fillId="2" borderId="3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164" fontId="21" fillId="2" borderId="19" xfId="0" applyNumberFormat="1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2" fontId="4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6" borderId="2" xfId="0" applyFont="1" applyFill="1" applyBorder="1"/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/>
    </xf>
    <xf numFmtId="4" fontId="17" fillId="3" borderId="2" xfId="0" applyNumberFormat="1" applyFont="1" applyFill="1" applyBorder="1"/>
    <xf numFmtId="0" fontId="17" fillId="3" borderId="2" xfId="0" applyFont="1" applyFill="1" applyBorder="1" applyAlignment="1">
      <alignment wrapText="1"/>
    </xf>
    <xf numFmtId="0" fontId="25" fillId="4" borderId="2" xfId="0" applyFont="1" applyFill="1" applyBorder="1"/>
    <xf numFmtId="0" fontId="17" fillId="4" borderId="2" xfId="0" applyFont="1" applyFill="1" applyBorder="1" applyAlignment="1">
      <alignment horizontal="center"/>
    </xf>
    <xf numFmtId="4" fontId="17" fillId="4" borderId="2" xfId="0" applyNumberFormat="1" applyFont="1" applyFill="1" applyBorder="1"/>
    <xf numFmtId="0" fontId="17" fillId="8" borderId="2" xfId="0" applyFont="1" applyFill="1" applyBorder="1"/>
    <xf numFmtId="0" fontId="17" fillId="8" borderId="2" xfId="0" applyFont="1" applyFill="1" applyBorder="1" applyAlignment="1">
      <alignment horizontal="center"/>
    </xf>
    <xf numFmtId="4" fontId="17" fillId="8" borderId="2" xfId="0" applyNumberFormat="1" applyFont="1" applyFill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4" fontId="17" fillId="0" borderId="2" xfId="0" applyNumberFormat="1" applyFont="1" applyBorder="1"/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4" fontId="17" fillId="2" borderId="2" xfId="0" applyNumberFormat="1" applyFont="1" applyFill="1" applyBorder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18" fillId="2" borderId="2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4" fontId="11" fillId="5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35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vertical="center" wrapText="1"/>
    </xf>
    <xf numFmtId="4" fontId="8" fillId="7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7" fillId="0" borderId="0" xfId="0" applyFont="1" applyAlignment="1"/>
    <xf numFmtId="0" fontId="16" fillId="0" borderId="0" xfId="0" applyFont="1" applyAlignment="1"/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17" fillId="2" borderId="0" xfId="0" applyFont="1" applyFill="1"/>
    <xf numFmtId="164" fontId="17" fillId="2" borderId="0" xfId="0" applyNumberFormat="1" applyFont="1" applyFill="1"/>
    <xf numFmtId="0" fontId="8" fillId="0" borderId="0" xfId="0" applyFont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2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36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10" workbookViewId="0">
      <selection activeCell="B38" sqref="B38"/>
    </sheetView>
  </sheetViews>
  <sheetFormatPr defaultRowHeight="15" x14ac:dyDescent="0.25"/>
  <cols>
    <col min="2" max="2" width="52.42578125" customWidth="1"/>
    <col min="3" max="3" width="10.5703125" customWidth="1"/>
    <col min="4" max="4" width="15" customWidth="1"/>
    <col min="6" max="6" width="12.42578125" bestFit="1" customWidth="1"/>
    <col min="7" max="7" width="12.85546875" customWidth="1"/>
    <col min="8" max="8" width="13.85546875" customWidth="1"/>
  </cols>
  <sheetData>
    <row r="2" spans="1:8" ht="43.5" customHeight="1" x14ac:dyDescent="0.25">
      <c r="A2" s="38" t="s">
        <v>13</v>
      </c>
      <c r="B2" s="180" t="s">
        <v>14</v>
      </c>
      <c r="C2" s="179" t="s">
        <v>43</v>
      </c>
      <c r="D2" s="179" t="s">
        <v>15</v>
      </c>
    </row>
    <row r="3" spans="1:8" x14ac:dyDescent="0.25">
      <c r="A3" s="37">
        <v>1</v>
      </c>
      <c r="B3" s="163" t="s">
        <v>16</v>
      </c>
      <c r="C3" s="164" t="s">
        <v>45</v>
      </c>
      <c r="D3" s="165">
        <v>654341.6</v>
      </c>
    </row>
    <row r="4" spans="1:8" ht="30" x14ac:dyDescent="0.25">
      <c r="A4" s="37">
        <v>2</v>
      </c>
      <c r="B4" s="166" t="s">
        <v>17</v>
      </c>
      <c r="C4" s="164" t="s">
        <v>45</v>
      </c>
      <c r="D4" s="165">
        <v>457642.98</v>
      </c>
    </row>
    <row r="5" spans="1:8" x14ac:dyDescent="0.25">
      <c r="A5" s="37">
        <v>3</v>
      </c>
      <c r="B5" s="163" t="s">
        <v>18</v>
      </c>
      <c r="C5" s="164" t="s">
        <v>45</v>
      </c>
      <c r="D5" s="165">
        <v>588707.43999999994</v>
      </c>
    </row>
    <row r="6" spans="1:8" x14ac:dyDescent="0.25">
      <c r="A6" s="37">
        <v>4</v>
      </c>
      <c r="B6" s="163" t="s">
        <v>184</v>
      </c>
      <c r="C6" s="164" t="s">
        <v>46</v>
      </c>
      <c r="D6" s="165">
        <v>381836.64</v>
      </c>
    </row>
    <row r="7" spans="1:8" x14ac:dyDescent="0.25">
      <c r="A7" s="37">
        <v>5</v>
      </c>
      <c r="B7" s="163" t="s">
        <v>19</v>
      </c>
      <c r="C7" s="164" t="s">
        <v>45</v>
      </c>
      <c r="D7" s="165">
        <v>395693.08</v>
      </c>
    </row>
    <row r="8" spans="1:8" x14ac:dyDescent="0.25">
      <c r="A8" s="39"/>
      <c r="B8" s="167" t="s">
        <v>20</v>
      </c>
      <c r="C8" s="168"/>
      <c r="D8" s="169">
        <f>SUM(D3:D7)</f>
        <v>2478221.7400000002</v>
      </c>
    </row>
    <row r="9" spans="1:8" x14ac:dyDescent="0.25">
      <c r="A9" s="37">
        <v>6</v>
      </c>
      <c r="B9" s="170" t="s">
        <v>21</v>
      </c>
      <c r="C9" s="171" t="s">
        <v>46</v>
      </c>
      <c r="D9" s="172">
        <v>327968</v>
      </c>
    </row>
    <row r="10" spans="1:8" x14ac:dyDescent="0.25">
      <c r="A10" s="36">
        <v>7</v>
      </c>
      <c r="B10" s="173" t="s">
        <v>187</v>
      </c>
      <c r="C10" s="174" t="s">
        <v>46</v>
      </c>
      <c r="D10" s="175">
        <v>163110.42000000001</v>
      </c>
      <c r="E10" t="s">
        <v>176</v>
      </c>
      <c r="F10" s="35"/>
    </row>
    <row r="11" spans="1:8" x14ac:dyDescent="0.25">
      <c r="A11" s="37">
        <v>8</v>
      </c>
      <c r="B11" s="163" t="s">
        <v>22</v>
      </c>
      <c r="C11" s="164" t="s">
        <v>45</v>
      </c>
      <c r="D11" s="165">
        <v>0</v>
      </c>
    </row>
    <row r="12" spans="1:8" x14ac:dyDescent="0.25">
      <c r="A12" s="36">
        <v>9</v>
      </c>
      <c r="B12" s="173" t="s">
        <v>23</v>
      </c>
      <c r="C12" s="174" t="s">
        <v>46</v>
      </c>
      <c r="D12" s="175">
        <v>163116.42000000001</v>
      </c>
    </row>
    <row r="13" spans="1:8" x14ac:dyDescent="0.25">
      <c r="A13" s="36">
        <v>10</v>
      </c>
      <c r="B13" s="173" t="s">
        <v>24</v>
      </c>
      <c r="C13" s="174" t="s">
        <v>46</v>
      </c>
      <c r="D13" s="175">
        <v>317094.87</v>
      </c>
      <c r="H13" s="35">
        <f>D3+D4+D5+D7+D11+D14+D19+D22+D23+D24+D25+D26+D27+D28+D29</f>
        <v>7326989.2300000004</v>
      </c>
    </row>
    <row r="14" spans="1:8" x14ac:dyDescent="0.25">
      <c r="A14" s="37">
        <v>11</v>
      </c>
      <c r="B14" s="163" t="s">
        <v>25</v>
      </c>
      <c r="C14" s="164" t="s">
        <v>45</v>
      </c>
      <c r="D14" s="165">
        <v>152236.39000000001</v>
      </c>
      <c r="H14" s="35">
        <f>D6+D9+D10+D12+D13+D15+D16+D18+D20+D21</f>
        <v>4505610.7700000005</v>
      </c>
    </row>
    <row r="15" spans="1:8" x14ac:dyDescent="0.25">
      <c r="A15" s="36">
        <v>12</v>
      </c>
      <c r="B15" s="173" t="s">
        <v>26</v>
      </c>
      <c r="C15" s="174" t="s">
        <v>46</v>
      </c>
      <c r="D15" s="175">
        <v>289472.78000000003</v>
      </c>
    </row>
    <row r="16" spans="1:8" s="41" customFormat="1" x14ac:dyDescent="0.25">
      <c r="A16" s="40">
        <v>13</v>
      </c>
      <c r="B16" s="176" t="s">
        <v>27</v>
      </c>
      <c r="C16" s="177" t="s">
        <v>46</v>
      </c>
      <c r="D16" s="178">
        <v>1768945.84</v>
      </c>
    </row>
    <row r="17" spans="1:8" x14ac:dyDescent="0.25">
      <c r="A17" s="39"/>
      <c r="B17" s="167" t="s">
        <v>28</v>
      </c>
      <c r="C17" s="168"/>
      <c r="D17" s="169">
        <f>SUM(D9:D16)</f>
        <v>3181944.72</v>
      </c>
    </row>
    <row r="18" spans="1:8" x14ac:dyDescent="0.25">
      <c r="A18" s="36">
        <v>14</v>
      </c>
      <c r="B18" s="173" t="s">
        <v>29</v>
      </c>
      <c r="C18" s="177" t="s">
        <v>46</v>
      </c>
      <c r="D18" s="175">
        <v>423024</v>
      </c>
      <c r="F18" s="35"/>
    </row>
    <row r="19" spans="1:8" x14ac:dyDescent="0.25">
      <c r="A19" s="37">
        <v>15</v>
      </c>
      <c r="B19" s="163" t="s">
        <v>30</v>
      </c>
      <c r="C19" s="164" t="s">
        <v>45</v>
      </c>
      <c r="D19" s="165">
        <v>226512</v>
      </c>
      <c r="G19" s="44" t="s">
        <v>48</v>
      </c>
      <c r="H19" s="45" t="s">
        <v>49</v>
      </c>
    </row>
    <row r="20" spans="1:8" x14ac:dyDescent="0.25">
      <c r="A20" s="36">
        <v>16</v>
      </c>
      <c r="B20" s="173" t="s">
        <v>31</v>
      </c>
      <c r="C20" s="177" t="s">
        <v>46</v>
      </c>
      <c r="D20" s="175">
        <v>524257.67</v>
      </c>
      <c r="F20" s="43" t="s">
        <v>47</v>
      </c>
      <c r="G20" s="35">
        <f>D6+D9+D10+D12+D13+D15+D16+D18+D20+D21</f>
        <v>4505610.7700000005</v>
      </c>
      <c r="H20" s="35">
        <f>G20*30.2%</f>
        <v>1360694.4525400002</v>
      </c>
    </row>
    <row r="21" spans="1:8" x14ac:dyDescent="0.25">
      <c r="A21" s="36">
        <v>17</v>
      </c>
      <c r="B21" s="173" t="s">
        <v>32</v>
      </c>
      <c r="C21" s="177" t="s">
        <v>46</v>
      </c>
      <c r="D21" s="175">
        <v>146784.13</v>
      </c>
      <c r="F21" s="43" t="s">
        <v>44</v>
      </c>
      <c r="G21" s="35">
        <f>D3+D4+D5+D7+D14+D19+D22+D23+D24+D25+D26+D27+D28+D29</f>
        <v>7326989.2300000004</v>
      </c>
      <c r="H21" s="35">
        <f>G21*30.2%-45.2</f>
        <v>2212705.54746</v>
      </c>
    </row>
    <row r="22" spans="1:8" s="41" customFormat="1" x14ac:dyDescent="0.25">
      <c r="A22" s="37">
        <v>18</v>
      </c>
      <c r="B22" s="163" t="s">
        <v>33</v>
      </c>
      <c r="C22" s="164" t="s">
        <v>45</v>
      </c>
      <c r="D22" s="165">
        <v>906048</v>
      </c>
      <c r="F22" s="42"/>
    </row>
    <row r="23" spans="1:8" s="41" customFormat="1" x14ac:dyDescent="0.25">
      <c r="A23" s="37">
        <v>19</v>
      </c>
      <c r="B23" s="163" t="s">
        <v>34</v>
      </c>
      <c r="C23" s="164" t="s">
        <v>45</v>
      </c>
      <c r="D23" s="165">
        <v>293568.26</v>
      </c>
    </row>
    <row r="24" spans="1:8" s="41" customFormat="1" x14ac:dyDescent="0.25">
      <c r="A24" s="37">
        <v>20</v>
      </c>
      <c r="B24" s="163" t="s">
        <v>35</v>
      </c>
      <c r="C24" s="164" t="s">
        <v>45</v>
      </c>
      <c r="D24" s="165">
        <v>335181.23</v>
      </c>
    </row>
    <row r="25" spans="1:8" s="41" customFormat="1" x14ac:dyDescent="0.25">
      <c r="A25" s="37">
        <v>21</v>
      </c>
      <c r="B25" s="163" t="s">
        <v>36</v>
      </c>
      <c r="C25" s="164" t="s">
        <v>45</v>
      </c>
      <c r="D25" s="165">
        <v>281618.3</v>
      </c>
    </row>
    <row r="26" spans="1:8" s="41" customFormat="1" x14ac:dyDescent="0.25">
      <c r="A26" s="37">
        <v>22</v>
      </c>
      <c r="B26" s="163" t="s">
        <v>37</v>
      </c>
      <c r="C26" s="164" t="s">
        <v>45</v>
      </c>
      <c r="D26" s="165">
        <v>600426.94999999995</v>
      </c>
    </row>
    <row r="27" spans="1:8" s="41" customFormat="1" x14ac:dyDescent="0.25">
      <c r="A27" s="37">
        <v>23</v>
      </c>
      <c r="B27" s="163" t="s">
        <v>38</v>
      </c>
      <c r="C27" s="164" t="s">
        <v>45</v>
      </c>
      <c r="D27" s="165">
        <v>453024</v>
      </c>
    </row>
    <row r="28" spans="1:8" s="41" customFormat="1" x14ac:dyDescent="0.25">
      <c r="A28" s="37">
        <v>24</v>
      </c>
      <c r="B28" s="163" t="s">
        <v>39</v>
      </c>
      <c r="C28" s="164" t="s">
        <v>45</v>
      </c>
      <c r="D28" s="165">
        <v>226512</v>
      </c>
    </row>
    <row r="29" spans="1:8" s="41" customFormat="1" x14ac:dyDescent="0.25">
      <c r="A29" s="37">
        <v>25</v>
      </c>
      <c r="B29" s="163" t="s">
        <v>40</v>
      </c>
      <c r="C29" s="164" t="s">
        <v>45</v>
      </c>
      <c r="D29" s="165">
        <v>1755477</v>
      </c>
      <c r="F29" s="42"/>
      <c r="G29" s="42"/>
    </row>
    <row r="30" spans="1:8" x14ac:dyDescent="0.25">
      <c r="A30" s="39"/>
      <c r="B30" s="167" t="s">
        <v>41</v>
      </c>
      <c r="C30" s="168"/>
      <c r="D30" s="169">
        <f>SUM(D18:D29)</f>
        <v>6172433.5399999991</v>
      </c>
      <c r="F30" s="35"/>
    </row>
    <row r="31" spans="1:8" x14ac:dyDescent="0.25">
      <c r="A31" s="36"/>
      <c r="B31" s="173" t="s">
        <v>42</v>
      </c>
      <c r="C31" s="173"/>
      <c r="D31" s="175">
        <f>D8+D17+D30</f>
        <v>11832600</v>
      </c>
      <c r="F31" s="35"/>
    </row>
    <row r="33" spans="1:4" x14ac:dyDescent="0.25">
      <c r="A33" s="226"/>
      <c r="B33" s="226"/>
      <c r="C33" s="227"/>
      <c r="D33" s="227"/>
    </row>
    <row r="34" spans="1:4" x14ac:dyDescent="0.25">
      <c r="A34" s="208"/>
      <c r="B34" s="208"/>
      <c r="C34" s="209"/>
      <c r="D34" s="209"/>
    </row>
    <row r="35" spans="1:4" x14ac:dyDescent="0.25">
      <c r="A35" s="208"/>
      <c r="B35" s="208"/>
      <c r="C35" s="209"/>
      <c r="D35" s="209"/>
    </row>
    <row r="36" spans="1:4" x14ac:dyDescent="0.25">
      <c r="A36" s="210" t="s">
        <v>200</v>
      </c>
      <c r="B36" s="210"/>
      <c r="C36" s="228" t="s">
        <v>198</v>
      </c>
      <c r="D36" s="228"/>
    </row>
    <row r="37" spans="1:4" x14ac:dyDescent="0.25">
      <c r="A37" s="230" t="s">
        <v>199</v>
      </c>
      <c r="B37" s="230"/>
      <c r="C37" s="229" t="s">
        <v>197</v>
      </c>
      <c r="D37" s="229"/>
    </row>
    <row r="38" spans="1:4" x14ac:dyDescent="0.25">
      <c r="D38" t="s">
        <v>186</v>
      </c>
    </row>
    <row r="39" spans="1:4" x14ac:dyDescent="0.25">
      <c r="A39" s="64" t="s">
        <v>194</v>
      </c>
    </row>
  </sheetData>
  <mergeCells count="5">
    <mergeCell ref="A33:B33"/>
    <mergeCell ref="C33:D33"/>
    <mergeCell ref="C36:D36"/>
    <mergeCell ref="C37:D37"/>
    <mergeCell ref="A37:B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2"/>
  <sheetViews>
    <sheetView workbookViewId="0">
      <selection activeCell="I33" sqref="I33"/>
    </sheetView>
  </sheetViews>
  <sheetFormatPr defaultRowHeight="15" x14ac:dyDescent="0.25"/>
  <cols>
    <col min="1" max="1" width="0.28515625" style="2" customWidth="1"/>
    <col min="2" max="2" width="7" style="2" customWidth="1"/>
    <col min="3" max="3" width="6.28515625" style="2" customWidth="1"/>
    <col min="4" max="4" width="11.5703125" style="2" customWidth="1"/>
    <col min="5" max="6" width="6.140625" style="2" bestFit="1" customWidth="1"/>
    <col min="7" max="7" width="7" style="2" bestFit="1" customWidth="1"/>
    <col min="8" max="8" width="9.85546875" style="2" customWidth="1"/>
    <col min="9" max="9" width="12.42578125" style="2" customWidth="1"/>
    <col min="10" max="10" width="12.28515625" style="2" customWidth="1"/>
    <col min="11" max="11" width="14.7109375" style="2" customWidth="1"/>
    <col min="12" max="12" width="16.140625" style="2" customWidth="1"/>
    <col min="13" max="13" width="12.28515625" style="2" customWidth="1"/>
    <col min="14" max="15" width="10.85546875" style="2" bestFit="1" customWidth="1"/>
    <col min="16" max="17" width="9.140625" style="2"/>
    <col min="18" max="18" width="13" style="2" customWidth="1"/>
    <col min="19" max="19" width="13.140625" style="2" customWidth="1"/>
    <col min="20" max="20" width="12.5703125" style="2" customWidth="1"/>
    <col min="21" max="21" width="12" style="2" customWidth="1"/>
    <col min="22" max="22" width="11.42578125" style="2" customWidth="1"/>
    <col min="23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27" customHeight="1" x14ac:dyDescent="0.25">
      <c r="A2" s="3"/>
      <c r="B2" s="237" t="s">
        <v>50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2" x14ac:dyDescent="0.25">
      <c r="A3" s="3"/>
      <c r="B3" s="236" t="s">
        <v>0</v>
      </c>
      <c r="C3" s="238" t="s">
        <v>1</v>
      </c>
      <c r="D3" s="238" t="s">
        <v>189</v>
      </c>
      <c r="E3" s="238" t="s">
        <v>188</v>
      </c>
      <c r="F3" s="238" t="s">
        <v>2</v>
      </c>
      <c r="G3" s="236" t="s">
        <v>3</v>
      </c>
      <c r="H3" s="236" t="s">
        <v>4</v>
      </c>
      <c r="I3" s="239">
        <v>2018</v>
      </c>
      <c r="J3" s="238" t="s">
        <v>5</v>
      </c>
      <c r="K3" s="238"/>
      <c r="L3" s="238"/>
      <c r="M3" s="236" t="s">
        <v>6</v>
      </c>
      <c r="N3" s="4"/>
      <c r="O3" s="4"/>
      <c r="P3" s="4"/>
      <c r="Q3" s="4"/>
      <c r="R3" s="4"/>
      <c r="S3" s="4"/>
      <c r="T3" s="4"/>
      <c r="U3" s="4"/>
      <c r="V3" s="4"/>
    </row>
    <row r="4" spans="1:22" s="10" customFormat="1" ht="27.75" customHeight="1" x14ac:dyDescent="0.2">
      <c r="A4" s="5"/>
      <c r="B4" s="236"/>
      <c r="C4" s="238"/>
      <c r="D4" s="238"/>
      <c r="E4" s="238"/>
      <c r="F4" s="238"/>
      <c r="G4" s="236"/>
      <c r="H4" s="236"/>
      <c r="I4" s="239"/>
      <c r="J4" s="6" t="s">
        <v>7</v>
      </c>
      <c r="K4" s="7" t="s">
        <v>8</v>
      </c>
      <c r="L4" s="7" t="s">
        <v>9</v>
      </c>
      <c r="M4" s="236"/>
      <c r="N4" s="3"/>
      <c r="O4" s="8"/>
      <c r="P4" s="8"/>
      <c r="Q4" s="8"/>
      <c r="R4" s="9"/>
      <c r="S4" s="3"/>
      <c r="T4" s="3"/>
      <c r="U4" s="3"/>
      <c r="V4" s="8"/>
    </row>
    <row r="5" spans="1:22" s="20" customFormat="1" ht="12.75" x14ac:dyDescent="0.2">
      <c r="A5" s="11"/>
      <c r="B5" s="12" t="s">
        <v>10</v>
      </c>
      <c r="C5" s="12" t="s">
        <v>11</v>
      </c>
      <c r="D5" s="13" t="s">
        <v>190</v>
      </c>
      <c r="E5" s="14">
        <v>111</v>
      </c>
      <c r="F5" s="14">
        <v>211</v>
      </c>
      <c r="G5" s="14">
        <v>110</v>
      </c>
      <c r="H5" s="14" t="s">
        <v>12</v>
      </c>
      <c r="I5" s="34">
        <v>11832600</v>
      </c>
      <c r="J5" s="34">
        <f>I5</f>
        <v>11832600</v>
      </c>
      <c r="K5" s="34">
        <f>ЗП!G20</f>
        <v>4505610.7700000005</v>
      </c>
      <c r="L5" s="34">
        <f>J5-K5</f>
        <v>7326989.2299999995</v>
      </c>
      <c r="M5" s="34">
        <v>0</v>
      </c>
      <c r="N5" s="15"/>
      <c r="O5" s="150"/>
      <c r="P5" s="16"/>
      <c r="Q5" s="16"/>
      <c r="R5" s="17"/>
      <c r="S5" s="18"/>
      <c r="T5" s="19"/>
      <c r="U5" s="19"/>
      <c r="V5" s="16"/>
    </row>
    <row r="6" spans="1:22" s="10" customFormat="1" ht="12.75" x14ac:dyDescent="0.2">
      <c r="A6" s="5"/>
      <c r="B6" s="21" t="s">
        <v>10</v>
      </c>
      <c r="C6" s="21" t="s">
        <v>11</v>
      </c>
      <c r="D6" s="13" t="s">
        <v>190</v>
      </c>
      <c r="E6" s="14">
        <v>112</v>
      </c>
      <c r="F6" s="22">
        <v>212</v>
      </c>
      <c r="G6" s="14">
        <v>120</v>
      </c>
      <c r="H6" s="22" t="s">
        <v>12</v>
      </c>
      <c r="I6" s="34">
        <v>475000</v>
      </c>
      <c r="J6" s="34">
        <f>I6</f>
        <v>475000</v>
      </c>
      <c r="K6" s="34">
        <v>0</v>
      </c>
      <c r="L6" s="34">
        <f>J6</f>
        <v>475000</v>
      </c>
      <c r="M6" s="34">
        <v>0</v>
      </c>
      <c r="N6" s="23"/>
      <c r="O6" s="23"/>
      <c r="P6" s="23"/>
      <c r="Q6" s="24"/>
      <c r="R6" s="25"/>
      <c r="S6" s="25"/>
      <c r="T6" s="25"/>
      <c r="U6" s="25"/>
      <c r="V6" s="25"/>
    </row>
    <row r="7" spans="1:22" s="10" customFormat="1" ht="12.75" x14ac:dyDescent="0.2">
      <c r="A7" s="5"/>
      <c r="B7" s="21" t="s">
        <v>10</v>
      </c>
      <c r="C7" s="21" t="s">
        <v>11</v>
      </c>
      <c r="D7" s="13" t="s">
        <v>190</v>
      </c>
      <c r="E7" s="14">
        <v>119</v>
      </c>
      <c r="F7" s="22">
        <v>213</v>
      </c>
      <c r="G7" s="22">
        <v>130</v>
      </c>
      <c r="H7" s="22" t="s">
        <v>12</v>
      </c>
      <c r="I7" s="34">
        <v>3573400</v>
      </c>
      <c r="J7" s="34">
        <f>I7</f>
        <v>3573400</v>
      </c>
      <c r="K7" s="34">
        <f>ЗП!H20</f>
        <v>1360694.4525400002</v>
      </c>
      <c r="L7" s="34">
        <f>I7-K7</f>
        <v>2212705.54746</v>
      </c>
      <c r="M7" s="34">
        <v>0</v>
      </c>
      <c r="N7" s="23"/>
      <c r="O7" s="23"/>
      <c r="P7" s="23"/>
      <c r="Q7" s="24"/>
      <c r="R7" s="25"/>
      <c r="S7" s="25"/>
      <c r="T7" s="25"/>
      <c r="U7" s="25"/>
      <c r="V7" s="25"/>
    </row>
    <row r="8" spans="1:22" s="10" customFormat="1" ht="12.75" x14ac:dyDescent="0.2">
      <c r="A8" s="5"/>
      <c r="B8" s="12" t="s">
        <v>10</v>
      </c>
      <c r="C8" s="21" t="s">
        <v>11</v>
      </c>
      <c r="D8" s="13" t="s">
        <v>190</v>
      </c>
      <c r="E8" s="14">
        <v>244</v>
      </c>
      <c r="F8" s="26">
        <v>221</v>
      </c>
      <c r="G8" s="14">
        <v>210</v>
      </c>
      <c r="H8" s="22" t="s">
        <v>12</v>
      </c>
      <c r="I8" s="34">
        <v>84300</v>
      </c>
      <c r="J8" s="34">
        <f>I8</f>
        <v>84300</v>
      </c>
      <c r="K8" s="34">
        <v>0</v>
      </c>
      <c r="L8" s="34">
        <f>J8</f>
        <v>84300</v>
      </c>
      <c r="M8" s="34">
        <v>0</v>
      </c>
      <c r="N8" s="23"/>
      <c r="O8" s="23"/>
      <c r="P8" s="23"/>
      <c r="Q8" s="24"/>
      <c r="R8" s="25"/>
      <c r="S8" s="25"/>
      <c r="T8" s="25"/>
      <c r="U8" s="25"/>
      <c r="V8" s="25"/>
    </row>
    <row r="9" spans="1:22" s="10" customFormat="1" ht="12.75" x14ac:dyDescent="0.2">
      <c r="A9" s="5"/>
      <c r="B9" s="21" t="s">
        <v>10</v>
      </c>
      <c r="C9" s="21" t="s">
        <v>11</v>
      </c>
      <c r="D9" s="13" t="s">
        <v>190</v>
      </c>
      <c r="E9" s="14">
        <v>244</v>
      </c>
      <c r="F9" s="26">
        <v>222</v>
      </c>
      <c r="G9" s="14">
        <v>220</v>
      </c>
      <c r="H9" s="22" t="s">
        <v>12</v>
      </c>
      <c r="I9" s="34">
        <v>176400</v>
      </c>
      <c r="J9" s="34">
        <f>I9</f>
        <v>176400</v>
      </c>
      <c r="K9" s="34">
        <v>0</v>
      </c>
      <c r="L9" s="34">
        <v>176400</v>
      </c>
      <c r="M9" s="34">
        <v>0</v>
      </c>
      <c r="N9" s="23"/>
      <c r="O9" s="23"/>
      <c r="P9" s="23"/>
      <c r="Q9" s="24"/>
      <c r="R9" s="25"/>
      <c r="S9" s="25"/>
      <c r="T9" s="25"/>
      <c r="U9" s="25"/>
      <c r="V9" s="25"/>
    </row>
    <row r="10" spans="1:22" s="10" customFormat="1" ht="12.75" x14ac:dyDescent="0.2">
      <c r="A10" s="5"/>
      <c r="B10" s="21" t="s">
        <v>10</v>
      </c>
      <c r="C10" s="21" t="s">
        <v>11</v>
      </c>
      <c r="D10" s="13" t="s">
        <v>190</v>
      </c>
      <c r="E10" s="14">
        <v>244</v>
      </c>
      <c r="F10" s="26">
        <v>223</v>
      </c>
      <c r="G10" s="14">
        <v>231</v>
      </c>
      <c r="H10" s="22" t="s">
        <v>12</v>
      </c>
      <c r="I10" s="34">
        <v>1155700</v>
      </c>
      <c r="J10" s="34">
        <v>1155700</v>
      </c>
      <c r="K10" s="34">
        <v>0</v>
      </c>
      <c r="L10" s="34">
        <f>J10*50%</f>
        <v>577850</v>
      </c>
      <c r="M10" s="34">
        <f>J10*50%</f>
        <v>577850</v>
      </c>
      <c r="N10" s="23"/>
      <c r="O10" s="23"/>
      <c r="P10" s="23"/>
      <c r="Q10" s="24"/>
      <c r="R10" s="25"/>
      <c r="S10" s="25"/>
      <c r="T10" s="25"/>
      <c r="U10" s="25"/>
      <c r="V10" s="25"/>
    </row>
    <row r="11" spans="1:22" s="10" customFormat="1" ht="12.75" x14ac:dyDescent="0.2">
      <c r="A11" s="5"/>
      <c r="B11" s="12" t="s">
        <v>10</v>
      </c>
      <c r="C11" s="21" t="s">
        <v>11</v>
      </c>
      <c r="D11" s="13" t="s">
        <v>190</v>
      </c>
      <c r="E11" s="14">
        <v>244</v>
      </c>
      <c r="F11" s="26">
        <v>223</v>
      </c>
      <c r="G11" s="14">
        <v>232</v>
      </c>
      <c r="H11" s="22" t="s">
        <v>12</v>
      </c>
      <c r="I11" s="34">
        <v>902600</v>
      </c>
      <c r="J11" s="46">
        <f>I11</f>
        <v>902600</v>
      </c>
      <c r="K11" s="34">
        <v>0</v>
      </c>
      <c r="L11" s="34">
        <f>902600*90%</f>
        <v>812340</v>
      </c>
      <c r="M11" s="34">
        <f>J11*10%</f>
        <v>90260</v>
      </c>
      <c r="N11" s="27"/>
      <c r="O11" s="23"/>
      <c r="P11" s="23"/>
      <c r="Q11" s="24"/>
      <c r="R11" s="25"/>
      <c r="S11" s="25"/>
      <c r="T11" s="25"/>
      <c r="U11" s="25"/>
      <c r="V11" s="25"/>
    </row>
    <row r="12" spans="1:22" s="10" customFormat="1" ht="12.75" x14ac:dyDescent="0.2">
      <c r="A12" s="5"/>
      <c r="B12" s="21" t="s">
        <v>10</v>
      </c>
      <c r="C12" s="21" t="s">
        <v>11</v>
      </c>
      <c r="D12" s="13" t="s">
        <v>190</v>
      </c>
      <c r="E12" s="14">
        <v>244</v>
      </c>
      <c r="F12" s="26">
        <v>223</v>
      </c>
      <c r="G12" s="14">
        <v>233</v>
      </c>
      <c r="H12" s="22" t="s">
        <v>12</v>
      </c>
      <c r="I12" s="34">
        <v>31200</v>
      </c>
      <c r="J12" s="34">
        <f>I12</f>
        <v>31200</v>
      </c>
      <c r="K12" s="34">
        <v>0</v>
      </c>
      <c r="L12" s="34">
        <f>J12</f>
        <v>31200</v>
      </c>
      <c r="M12" s="34">
        <v>0</v>
      </c>
      <c r="N12" s="27"/>
      <c r="O12" s="23"/>
      <c r="P12" s="23"/>
      <c r="Q12" s="24"/>
      <c r="R12" s="25"/>
      <c r="S12" s="25"/>
      <c r="T12" s="25"/>
      <c r="U12" s="25"/>
      <c r="V12" s="25"/>
    </row>
    <row r="13" spans="1:22" s="10" customFormat="1" ht="12.75" x14ac:dyDescent="0.2">
      <c r="A13" s="5"/>
      <c r="B13" s="21" t="s">
        <v>10</v>
      </c>
      <c r="C13" s="21" t="s">
        <v>11</v>
      </c>
      <c r="D13" s="13" t="s">
        <v>190</v>
      </c>
      <c r="E13" s="14">
        <v>244</v>
      </c>
      <c r="F13" s="26">
        <v>225</v>
      </c>
      <c r="G13" s="14">
        <v>251</v>
      </c>
      <c r="H13" s="22" t="s">
        <v>12</v>
      </c>
      <c r="I13" s="34">
        <v>462500</v>
      </c>
      <c r="J13" s="34">
        <f>I13</f>
        <v>462500</v>
      </c>
      <c r="K13" s="34">
        <v>0</v>
      </c>
      <c r="L13" s="34">
        <f>J13</f>
        <v>462500</v>
      </c>
      <c r="M13" s="34">
        <v>0</v>
      </c>
      <c r="N13" s="27"/>
      <c r="O13" s="23"/>
      <c r="P13" s="23"/>
      <c r="Q13" s="24"/>
      <c r="R13" s="25"/>
      <c r="S13" s="25"/>
      <c r="T13" s="25"/>
      <c r="U13" s="25"/>
      <c r="V13" s="25"/>
    </row>
    <row r="14" spans="1:22" s="10" customFormat="1" ht="12.75" x14ac:dyDescent="0.2">
      <c r="A14" s="5"/>
      <c r="B14" s="12" t="s">
        <v>10</v>
      </c>
      <c r="C14" s="21" t="s">
        <v>11</v>
      </c>
      <c r="D14" s="13" t="s">
        <v>190</v>
      </c>
      <c r="E14" s="14">
        <v>244</v>
      </c>
      <c r="F14" s="22">
        <v>225</v>
      </c>
      <c r="G14" s="14">
        <v>255</v>
      </c>
      <c r="H14" s="22" t="s">
        <v>12</v>
      </c>
      <c r="I14" s="34">
        <v>639500</v>
      </c>
      <c r="J14" s="34">
        <f t="shared" ref="J14:J22" si="0">I14</f>
        <v>639500</v>
      </c>
      <c r="K14" s="34">
        <v>0</v>
      </c>
      <c r="L14" s="34">
        <f>J14-K14</f>
        <v>639500</v>
      </c>
      <c r="M14" s="34">
        <v>0</v>
      </c>
      <c r="N14" s="27"/>
      <c r="O14" s="23"/>
      <c r="P14" s="23"/>
      <c r="Q14" s="24"/>
      <c r="R14" s="25"/>
      <c r="S14" s="25"/>
      <c r="T14" s="25"/>
      <c r="U14" s="25"/>
      <c r="V14" s="25"/>
    </row>
    <row r="15" spans="1:22" s="10" customFormat="1" ht="0.75" customHeight="1" x14ac:dyDescent="0.2">
      <c r="A15" s="5"/>
      <c r="B15" s="12"/>
      <c r="C15" s="21"/>
      <c r="D15" s="13" t="s">
        <v>191</v>
      </c>
      <c r="E15" s="14">
        <v>244</v>
      </c>
      <c r="F15" s="22">
        <v>226</v>
      </c>
      <c r="G15" s="14">
        <v>263</v>
      </c>
      <c r="H15" s="22"/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27"/>
      <c r="O15" s="23"/>
      <c r="P15" s="23"/>
      <c r="Q15" s="24"/>
      <c r="R15" s="25"/>
      <c r="S15" s="25"/>
      <c r="T15" s="25"/>
      <c r="U15" s="25"/>
      <c r="V15" s="25"/>
    </row>
    <row r="16" spans="1:22" s="10" customFormat="1" ht="12.75" x14ac:dyDescent="0.2">
      <c r="A16" s="5"/>
      <c r="B16" s="21" t="s">
        <v>10</v>
      </c>
      <c r="C16" s="21" t="s">
        <v>11</v>
      </c>
      <c r="D16" s="13" t="s">
        <v>190</v>
      </c>
      <c r="E16" s="14">
        <v>244</v>
      </c>
      <c r="F16" s="22">
        <v>226</v>
      </c>
      <c r="G16" s="14">
        <v>264</v>
      </c>
      <c r="H16" s="22" t="s">
        <v>12</v>
      </c>
      <c r="I16" s="34">
        <v>995900</v>
      </c>
      <c r="J16" s="34">
        <f t="shared" si="0"/>
        <v>995900</v>
      </c>
      <c r="K16" s="34">
        <v>0</v>
      </c>
      <c r="L16" s="34">
        <f t="shared" ref="L16:L18" si="1">J16</f>
        <v>995900</v>
      </c>
      <c r="M16" s="34">
        <v>0</v>
      </c>
      <c r="N16" s="27"/>
      <c r="O16" s="23"/>
      <c r="P16" s="23"/>
      <c r="Q16" s="24"/>
      <c r="R16" s="25"/>
      <c r="S16" s="25"/>
      <c r="T16" s="25"/>
      <c r="U16" s="25"/>
      <c r="V16" s="25"/>
    </row>
    <row r="17" spans="1:26" s="10" customFormat="1" ht="12.75" x14ac:dyDescent="0.2">
      <c r="A17" s="5"/>
      <c r="B17" s="21" t="s">
        <v>10</v>
      </c>
      <c r="C17" s="21" t="s">
        <v>11</v>
      </c>
      <c r="D17" s="13" t="s">
        <v>190</v>
      </c>
      <c r="E17" s="14">
        <v>244</v>
      </c>
      <c r="F17" s="22">
        <v>226</v>
      </c>
      <c r="G17" s="14">
        <v>265</v>
      </c>
      <c r="H17" s="22" t="s">
        <v>12</v>
      </c>
      <c r="I17" s="34">
        <v>50500</v>
      </c>
      <c r="J17" s="34">
        <f t="shared" si="0"/>
        <v>50500</v>
      </c>
      <c r="K17" s="34">
        <v>0</v>
      </c>
      <c r="L17" s="34">
        <f>J17-K17</f>
        <v>50500</v>
      </c>
      <c r="M17" s="34">
        <v>0</v>
      </c>
      <c r="N17" s="27"/>
      <c r="O17" s="23"/>
      <c r="P17" s="23"/>
      <c r="Q17" s="24"/>
      <c r="R17" s="25"/>
      <c r="S17" s="25"/>
      <c r="T17" s="25"/>
      <c r="U17" s="25"/>
      <c r="V17" s="25"/>
    </row>
    <row r="18" spans="1:26" s="10" customFormat="1" ht="12.75" x14ac:dyDescent="0.2">
      <c r="A18" s="5"/>
      <c r="B18" s="21" t="s">
        <v>10</v>
      </c>
      <c r="C18" s="21" t="s">
        <v>11</v>
      </c>
      <c r="D18" s="13" t="s">
        <v>190</v>
      </c>
      <c r="E18" s="14">
        <v>244</v>
      </c>
      <c r="F18" s="22">
        <v>226</v>
      </c>
      <c r="G18" s="14">
        <v>266</v>
      </c>
      <c r="H18" s="22" t="s">
        <v>12</v>
      </c>
      <c r="I18" s="34">
        <v>16000</v>
      </c>
      <c r="J18" s="34">
        <f t="shared" si="0"/>
        <v>16000</v>
      </c>
      <c r="K18" s="34">
        <v>0</v>
      </c>
      <c r="L18" s="34">
        <f t="shared" si="1"/>
        <v>16000</v>
      </c>
      <c r="M18" s="34">
        <v>0</v>
      </c>
      <c r="N18" s="27"/>
      <c r="O18" s="23"/>
      <c r="P18" s="23"/>
      <c r="Q18" s="24"/>
      <c r="R18" s="25"/>
      <c r="S18" s="25"/>
      <c r="T18" s="25"/>
      <c r="U18" s="25"/>
      <c r="V18" s="25"/>
    </row>
    <row r="19" spans="1:26" s="10" customFormat="1" ht="12.75" x14ac:dyDescent="0.2">
      <c r="A19" s="5"/>
      <c r="B19" s="21" t="s">
        <v>10</v>
      </c>
      <c r="C19" s="21" t="s">
        <v>11</v>
      </c>
      <c r="D19" s="13" t="s">
        <v>190</v>
      </c>
      <c r="E19" s="14">
        <v>244</v>
      </c>
      <c r="F19" s="22">
        <v>226</v>
      </c>
      <c r="G19" s="14">
        <v>267</v>
      </c>
      <c r="H19" s="22" t="s">
        <v>12</v>
      </c>
      <c r="I19" s="34">
        <v>643000</v>
      </c>
      <c r="J19" s="34">
        <v>643000</v>
      </c>
      <c r="K19" s="47">
        <v>0</v>
      </c>
      <c r="L19" s="46">
        <v>643000</v>
      </c>
      <c r="M19" s="47">
        <v>0</v>
      </c>
      <c r="N19" s="23"/>
      <c r="O19" s="23"/>
      <c r="P19" s="23"/>
      <c r="Q19" s="24"/>
      <c r="R19" s="25"/>
      <c r="S19" s="25"/>
      <c r="T19" s="25"/>
      <c r="U19" s="25"/>
      <c r="V19" s="25"/>
    </row>
    <row r="20" spans="1:26" s="10" customFormat="1" ht="12.75" x14ac:dyDescent="0.2">
      <c r="A20" s="5"/>
      <c r="B20" s="21" t="s">
        <v>10</v>
      </c>
      <c r="C20" s="21" t="s">
        <v>11</v>
      </c>
      <c r="D20" s="13" t="s">
        <v>190</v>
      </c>
      <c r="E20" s="14">
        <v>244</v>
      </c>
      <c r="F20" s="14">
        <v>340</v>
      </c>
      <c r="G20" s="14">
        <v>341</v>
      </c>
      <c r="H20" s="22" t="s">
        <v>12</v>
      </c>
      <c r="I20" s="34">
        <v>446100</v>
      </c>
      <c r="J20" s="34">
        <f t="shared" si="0"/>
        <v>446100</v>
      </c>
      <c r="K20" s="34">
        <f>J20</f>
        <v>446100</v>
      </c>
      <c r="L20" s="34">
        <v>0</v>
      </c>
      <c r="M20" s="34">
        <v>0</v>
      </c>
      <c r="N20" s="23"/>
      <c r="O20" s="23"/>
      <c r="P20" s="23"/>
      <c r="Q20" s="24"/>
      <c r="R20" s="25"/>
      <c r="S20" s="25"/>
      <c r="T20" s="25"/>
      <c r="U20" s="25"/>
      <c r="V20" s="25"/>
    </row>
    <row r="21" spans="1:26" s="10" customFormat="1" ht="12.75" x14ac:dyDescent="0.2">
      <c r="A21" s="5"/>
      <c r="B21" s="21" t="s">
        <v>10</v>
      </c>
      <c r="C21" s="21" t="s">
        <v>11</v>
      </c>
      <c r="D21" s="13" t="s">
        <v>190</v>
      </c>
      <c r="E21" s="14">
        <v>244</v>
      </c>
      <c r="F21" s="14">
        <v>340</v>
      </c>
      <c r="G21" s="14">
        <v>343</v>
      </c>
      <c r="H21" s="22" t="s">
        <v>12</v>
      </c>
      <c r="I21" s="34">
        <v>152700</v>
      </c>
      <c r="J21" s="34">
        <f t="shared" si="0"/>
        <v>152700</v>
      </c>
      <c r="K21" s="34">
        <v>152700</v>
      </c>
      <c r="L21" s="34">
        <v>0</v>
      </c>
      <c r="M21" s="34">
        <v>0</v>
      </c>
      <c r="N21" s="23"/>
      <c r="O21" s="23"/>
      <c r="P21" s="23"/>
      <c r="Q21" s="24"/>
      <c r="R21" s="25"/>
      <c r="S21" s="25"/>
      <c r="T21" s="25"/>
      <c r="U21" s="25"/>
      <c r="V21" s="25"/>
    </row>
    <row r="22" spans="1:26" s="10" customFormat="1" ht="12.75" x14ac:dyDescent="0.2">
      <c r="A22" s="28"/>
      <c r="B22" s="21" t="s">
        <v>10</v>
      </c>
      <c r="C22" s="21" t="s">
        <v>11</v>
      </c>
      <c r="D22" s="13" t="s">
        <v>190</v>
      </c>
      <c r="E22" s="14">
        <v>244</v>
      </c>
      <c r="F22" s="22">
        <v>340</v>
      </c>
      <c r="G22" s="14">
        <v>344</v>
      </c>
      <c r="H22" s="22" t="s">
        <v>12</v>
      </c>
      <c r="I22" s="34">
        <v>186600</v>
      </c>
      <c r="J22" s="34">
        <f t="shared" si="0"/>
        <v>186600</v>
      </c>
      <c r="K22" s="34">
        <v>146600</v>
      </c>
      <c r="L22" s="34">
        <v>40000</v>
      </c>
      <c r="M22" s="34">
        <v>0</v>
      </c>
      <c r="N22" s="23"/>
      <c r="O22" s="23"/>
      <c r="P22" s="23"/>
      <c r="Q22" s="24"/>
      <c r="R22" s="25"/>
      <c r="S22" s="25"/>
      <c r="T22" s="25"/>
      <c r="U22" s="25"/>
      <c r="V22" s="25"/>
    </row>
    <row r="23" spans="1:26" s="10" customFormat="1" ht="12.75" x14ac:dyDescent="0.2">
      <c r="A23" s="5"/>
      <c r="B23" s="21" t="s">
        <v>10</v>
      </c>
      <c r="C23" s="21" t="s">
        <v>11</v>
      </c>
      <c r="D23" s="13" t="s">
        <v>190</v>
      </c>
      <c r="E23" s="14">
        <v>851</v>
      </c>
      <c r="F23" s="22">
        <v>290</v>
      </c>
      <c r="G23" s="14">
        <v>901</v>
      </c>
      <c r="H23" s="22" t="s">
        <v>12</v>
      </c>
      <c r="I23" s="34">
        <v>1176000</v>
      </c>
      <c r="J23" s="34">
        <v>1176000</v>
      </c>
      <c r="K23" s="34">
        <v>0</v>
      </c>
      <c r="L23" s="34">
        <v>0</v>
      </c>
      <c r="M23" s="34">
        <v>1176000</v>
      </c>
      <c r="N23" s="23"/>
      <c r="O23" s="23"/>
      <c r="P23" s="23"/>
      <c r="Q23" s="24"/>
      <c r="R23" s="25"/>
      <c r="S23" s="25"/>
      <c r="T23" s="25"/>
      <c r="U23" s="25"/>
      <c r="V23" s="25"/>
    </row>
    <row r="24" spans="1:26" s="10" customFormat="1" ht="15" customHeight="1" x14ac:dyDescent="0.2">
      <c r="B24" s="233" t="s">
        <v>192</v>
      </c>
      <c r="C24" s="234"/>
      <c r="D24" s="234"/>
      <c r="E24" s="234"/>
      <c r="F24" s="234"/>
      <c r="G24" s="234"/>
      <c r="H24" s="235"/>
      <c r="I24" s="29">
        <f>SUM(I5:I23)</f>
        <v>23000000</v>
      </c>
      <c r="J24" s="29">
        <f>SUM(J5:J23)</f>
        <v>23000000</v>
      </c>
      <c r="K24" s="29">
        <f>SUM(K5:K23)</f>
        <v>6611705.2225400005</v>
      </c>
      <c r="L24" s="29">
        <f>SUM(L5:L23)</f>
        <v>14544184.77746</v>
      </c>
      <c r="M24" s="29">
        <f t="shared" ref="M24" si="2">SUM(M5:M23)</f>
        <v>1844110</v>
      </c>
      <c r="N24" s="23"/>
      <c r="O24" s="184"/>
      <c r="P24" s="23"/>
      <c r="Q24" s="24"/>
      <c r="R24" s="25"/>
      <c r="S24" s="25"/>
      <c r="T24" s="25"/>
      <c r="U24" s="25"/>
      <c r="V24" s="25"/>
    </row>
    <row r="25" spans="1:26" s="10" customFormat="1" ht="12.75" x14ac:dyDescent="0.2">
      <c r="N25" s="23"/>
      <c r="O25" s="24"/>
      <c r="P25" s="24"/>
      <c r="Q25" s="24"/>
      <c r="R25" s="30"/>
      <c r="S25" s="30"/>
      <c r="T25" s="30"/>
      <c r="U25" s="30"/>
      <c r="V25" s="30"/>
    </row>
    <row r="26" spans="1:26" s="10" customFormat="1" ht="12.75" x14ac:dyDescent="0.2">
      <c r="N26" s="23"/>
      <c r="O26" s="24"/>
      <c r="P26" s="24"/>
      <c r="Q26" s="24"/>
      <c r="R26" s="30"/>
      <c r="S26" s="30"/>
      <c r="T26" s="30"/>
      <c r="U26" s="30"/>
      <c r="V26" s="30"/>
    </row>
    <row r="27" spans="1:26" s="10" customFormat="1" ht="12.75" x14ac:dyDescent="0.2">
      <c r="B27" s="231" t="s">
        <v>201</v>
      </c>
      <c r="C27" s="231"/>
      <c r="D27" s="231"/>
      <c r="E27" s="231"/>
      <c r="F27" s="231"/>
      <c r="G27" s="231"/>
      <c r="H27" s="240"/>
      <c r="I27" s="240"/>
      <c r="K27" s="240" t="s">
        <v>198</v>
      </c>
      <c r="L27" s="240"/>
      <c r="N27" s="23"/>
      <c r="O27" s="24"/>
      <c r="P27" s="24"/>
      <c r="Q27" s="24"/>
      <c r="R27" s="30"/>
      <c r="S27" s="30"/>
      <c r="T27" s="30"/>
      <c r="U27" s="30"/>
      <c r="V27" s="30"/>
    </row>
    <row r="28" spans="1:26" s="10" customFormat="1" ht="15" customHeight="1" x14ac:dyDescent="0.2">
      <c r="H28" s="229" t="s">
        <v>196</v>
      </c>
      <c r="I28" s="229"/>
      <c r="K28" s="229" t="s">
        <v>197</v>
      </c>
      <c r="L28" s="229"/>
      <c r="N28" s="23"/>
      <c r="O28" s="24"/>
      <c r="P28" s="24"/>
      <c r="Q28" s="24"/>
      <c r="R28" s="30"/>
      <c r="S28" s="30"/>
      <c r="T28" s="30"/>
      <c r="U28" s="30"/>
      <c r="V28" s="30"/>
    </row>
    <row r="29" spans="1:26" s="10" customFormat="1" ht="12.75" x14ac:dyDescent="0.2">
      <c r="I29" s="31"/>
      <c r="J29" s="31"/>
      <c r="K29" s="31"/>
      <c r="L29" s="31"/>
      <c r="M29" s="31"/>
      <c r="N29" s="31"/>
      <c r="O29" s="31"/>
    </row>
    <row r="30" spans="1:26" s="10" customFormat="1" ht="12.75" x14ac:dyDescent="0.2">
      <c r="B30" s="231"/>
      <c r="C30" s="231"/>
      <c r="D30" s="231"/>
      <c r="E30" s="231"/>
      <c r="F30" s="231"/>
      <c r="G30" s="231"/>
      <c r="H30" s="231"/>
      <c r="I30" s="231"/>
      <c r="J30" s="231"/>
      <c r="K30" s="31"/>
      <c r="L30" s="31"/>
      <c r="M30" s="31"/>
      <c r="N30" s="31"/>
      <c r="O30" s="31"/>
    </row>
    <row r="31" spans="1:26" s="10" customFormat="1" ht="12.75" x14ac:dyDescent="0.2">
      <c r="A31" s="5"/>
      <c r="B31" s="232" t="s">
        <v>194</v>
      </c>
      <c r="C31" s="232"/>
      <c r="D31" s="232"/>
      <c r="E31" s="232"/>
      <c r="F31" s="232"/>
      <c r="G31" s="32"/>
      <c r="H31" s="23"/>
      <c r="I31" s="31"/>
      <c r="Z31" s="33"/>
    </row>
    <row r="32" spans="1:26" x14ac:dyDescent="0.25">
      <c r="I32" s="30"/>
      <c r="J32" s="30"/>
      <c r="K32" s="30"/>
    </row>
  </sheetData>
  <mergeCells count="19">
    <mergeCell ref="M3:M4"/>
    <mergeCell ref="B2:M2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H28:I28"/>
    <mergeCell ref="K28:L28"/>
    <mergeCell ref="B30:J30"/>
    <mergeCell ref="B31:F31"/>
    <mergeCell ref="B24:H24"/>
    <mergeCell ref="B27:G27"/>
    <mergeCell ref="H27:I27"/>
    <mergeCell ref="K27:L27"/>
  </mergeCells>
  <pageMargins left="0.31496062992125984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4"/>
  <sheetViews>
    <sheetView topLeftCell="A28" zoomScale="70" zoomScaleNormal="70" zoomScaleSheetLayoutView="70" workbookViewId="0">
      <selection activeCell="F57" sqref="F57"/>
    </sheetView>
  </sheetViews>
  <sheetFormatPr defaultRowHeight="15" x14ac:dyDescent="0.25"/>
  <cols>
    <col min="1" max="1" width="6.28515625" customWidth="1"/>
    <col min="2" max="2" width="28.28515625" customWidth="1"/>
    <col min="3" max="3" width="13.140625" customWidth="1"/>
    <col min="4" max="4" width="15" customWidth="1"/>
    <col min="5" max="5" width="17" customWidth="1"/>
    <col min="6" max="6" width="18.28515625" customWidth="1"/>
    <col min="7" max="7" width="16.42578125" customWidth="1"/>
    <col min="8" max="8" width="17.7109375" customWidth="1"/>
    <col min="9" max="14" width="15" style="64" customWidth="1"/>
    <col min="15" max="15" width="12.42578125" customWidth="1"/>
    <col min="16" max="16" width="11.5703125" customWidth="1"/>
    <col min="17" max="17" width="11.85546875" customWidth="1"/>
  </cols>
  <sheetData>
    <row r="1" spans="1:17" s="48" customFormat="1" ht="11.25" x14ac:dyDescent="0.2">
      <c r="N1" s="49" t="s">
        <v>51</v>
      </c>
    </row>
    <row r="2" spans="1:17" s="48" customFormat="1" ht="11.25" x14ac:dyDescent="0.2">
      <c r="K2" s="49"/>
      <c r="L2" s="250" t="s">
        <v>52</v>
      </c>
      <c r="M2" s="250"/>
      <c r="N2" s="250"/>
    </row>
    <row r="3" spans="1:17" s="48" customFormat="1" ht="11.25" x14ac:dyDescent="0.2">
      <c r="K3" s="49"/>
      <c r="L3" s="250" t="s">
        <v>53</v>
      </c>
      <c r="M3" s="250"/>
      <c r="N3" s="250"/>
    </row>
    <row r="4" spans="1:17" s="48" customFormat="1" ht="11.25" x14ac:dyDescent="0.2">
      <c r="K4" s="250" t="s">
        <v>54</v>
      </c>
      <c r="L4" s="250"/>
      <c r="M4" s="250"/>
      <c r="N4" s="250"/>
    </row>
    <row r="5" spans="1:17" ht="15.75" customHeight="1" x14ac:dyDescent="0.25">
      <c r="A5" s="256" t="s">
        <v>55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7" ht="27" customHeight="1" thickBot="1" x14ac:dyDescent="0.3">
      <c r="A6" s="255" t="s">
        <v>193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7" s="48" customFormat="1" ht="15.75" customHeight="1" x14ac:dyDescent="0.2">
      <c r="A7" s="251" t="s">
        <v>13</v>
      </c>
      <c r="B7" s="253" t="s">
        <v>56</v>
      </c>
      <c r="C7" s="253" t="s">
        <v>57</v>
      </c>
      <c r="D7" s="253" t="s">
        <v>58</v>
      </c>
      <c r="E7" s="246" t="s">
        <v>59</v>
      </c>
      <c r="F7" s="247"/>
      <c r="G7" s="247"/>
      <c r="H7" s="247"/>
      <c r="I7" s="247"/>
      <c r="J7" s="247"/>
      <c r="K7" s="247"/>
      <c r="L7" s="247"/>
      <c r="M7" s="247"/>
      <c r="N7" s="248"/>
    </row>
    <row r="8" spans="1:17" s="48" customFormat="1" ht="71.25" customHeight="1" x14ac:dyDescent="0.2">
      <c r="A8" s="252"/>
      <c r="B8" s="254"/>
      <c r="C8" s="254"/>
      <c r="D8" s="254"/>
      <c r="E8" s="257" t="s">
        <v>173</v>
      </c>
      <c r="F8" s="258"/>
      <c r="G8" s="257" t="s">
        <v>170</v>
      </c>
      <c r="H8" s="258"/>
      <c r="I8" s="259" t="s">
        <v>172</v>
      </c>
      <c r="J8" s="260"/>
      <c r="K8" s="259" t="s">
        <v>175</v>
      </c>
      <c r="L8" s="260"/>
      <c r="M8" s="259" t="s">
        <v>171</v>
      </c>
      <c r="N8" s="261"/>
    </row>
    <row r="9" spans="1:17" s="48" customFormat="1" ht="26.25" customHeight="1" x14ac:dyDescent="0.35">
      <c r="A9" s="252"/>
      <c r="B9" s="254"/>
      <c r="C9" s="254"/>
      <c r="D9" s="254"/>
      <c r="E9" s="107" t="s">
        <v>57</v>
      </c>
      <c r="F9" s="107" t="s">
        <v>60</v>
      </c>
      <c r="G9" s="107" t="s">
        <v>57</v>
      </c>
      <c r="H9" s="107" t="s">
        <v>60</v>
      </c>
      <c r="I9" s="107" t="s">
        <v>57</v>
      </c>
      <c r="J9" s="107" t="s">
        <v>60</v>
      </c>
      <c r="K9" s="107" t="s">
        <v>57</v>
      </c>
      <c r="L9" s="107" t="s">
        <v>60</v>
      </c>
      <c r="M9" s="107" t="s">
        <v>57</v>
      </c>
      <c r="N9" s="108" t="s">
        <v>60</v>
      </c>
      <c r="O9" s="138">
        <v>5</v>
      </c>
    </row>
    <row r="10" spans="1:17" s="48" customFormat="1" ht="15.75" customHeight="1" x14ac:dyDescent="0.2">
      <c r="A10" s="181">
        <v>1</v>
      </c>
      <c r="B10" s="182">
        <v>2</v>
      </c>
      <c r="C10" s="182">
        <v>3</v>
      </c>
      <c r="D10" s="182">
        <v>4</v>
      </c>
      <c r="E10" s="182">
        <v>5</v>
      </c>
      <c r="F10" s="182">
        <v>6</v>
      </c>
      <c r="G10" s="182">
        <v>7</v>
      </c>
      <c r="H10" s="182">
        <v>8</v>
      </c>
      <c r="I10" s="161">
        <v>9</v>
      </c>
      <c r="J10" s="161">
        <v>10</v>
      </c>
      <c r="K10" s="161">
        <v>9</v>
      </c>
      <c r="L10" s="161">
        <v>10</v>
      </c>
      <c r="M10" s="161">
        <v>9</v>
      </c>
      <c r="N10" s="183">
        <v>10</v>
      </c>
    </row>
    <row r="11" spans="1:17" s="52" customFormat="1" ht="47.25" x14ac:dyDescent="0.25">
      <c r="A11" s="109">
        <v>1</v>
      </c>
      <c r="B11" s="110" t="s">
        <v>61</v>
      </c>
      <c r="C11" s="111">
        <f>C12</f>
        <v>11.5</v>
      </c>
      <c r="D11" s="111">
        <f t="shared" ref="D11:J11" si="0">D12</f>
        <v>3181.9447200000004</v>
      </c>
      <c r="E11" s="111">
        <f t="shared" si="0"/>
        <v>2.7</v>
      </c>
      <c r="F11" s="111">
        <f t="shared" si="0"/>
        <v>758.17805599999997</v>
      </c>
      <c r="G11" s="111">
        <f t="shared" si="0"/>
        <v>2.2000000000000002</v>
      </c>
      <c r="H11" s="111">
        <f t="shared" si="0"/>
        <v>605.94166600000005</v>
      </c>
      <c r="I11" s="111">
        <f t="shared" si="0"/>
        <v>2.2000000000000002</v>
      </c>
      <c r="J11" s="111">
        <f t="shared" si="0"/>
        <v>605.94166600000005</v>
      </c>
      <c r="K11" s="111">
        <f t="shared" ref="K11" si="1">K12</f>
        <v>2.2000000000000002</v>
      </c>
      <c r="L11" s="111">
        <f t="shared" ref="L11" si="2">L12</f>
        <v>605.94166600000005</v>
      </c>
      <c r="M11" s="111">
        <f t="shared" ref="M11" si="3">M12</f>
        <v>2.2000000000000002</v>
      </c>
      <c r="N11" s="112">
        <f t="shared" ref="N11" si="4">N12</f>
        <v>605.94166600000005</v>
      </c>
    </row>
    <row r="12" spans="1:17" s="52" customFormat="1" ht="15.75" x14ac:dyDescent="0.25">
      <c r="A12" s="109" t="s">
        <v>62</v>
      </c>
      <c r="B12" s="113" t="s">
        <v>63</v>
      </c>
      <c r="C12" s="111">
        <f>SUM(C13:C20)</f>
        <v>11.5</v>
      </c>
      <c r="D12" s="111">
        <f>SUM(D13:D20)</f>
        <v>3181.9447200000004</v>
      </c>
      <c r="E12" s="111">
        <f t="shared" ref="E12:J12" si="5">SUM(E13:E20)</f>
        <v>2.7</v>
      </c>
      <c r="F12" s="111">
        <f t="shared" si="5"/>
        <v>758.17805599999997</v>
      </c>
      <c r="G12" s="111">
        <f t="shared" si="5"/>
        <v>2.2000000000000002</v>
      </c>
      <c r="H12" s="111">
        <f t="shared" si="5"/>
        <v>605.94166600000005</v>
      </c>
      <c r="I12" s="111">
        <f>SUM(I13:I20)</f>
        <v>2.2000000000000002</v>
      </c>
      <c r="J12" s="111">
        <f t="shared" si="5"/>
        <v>605.94166600000005</v>
      </c>
      <c r="K12" s="111">
        <f>SUM(K13:K20)</f>
        <v>2.2000000000000002</v>
      </c>
      <c r="L12" s="111">
        <f t="shared" ref="L12" si="6">SUM(L13:L20)</f>
        <v>605.94166600000005</v>
      </c>
      <c r="M12" s="111">
        <f>SUM(M13:M20)</f>
        <v>2.2000000000000002</v>
      </c>
      <c r="N12" s="112">
        <f t="shared" ref="N12" si="7">SUM(N13:N20)</f>
        <v>605.94166600000005</v>
      </c>
    </row>
    <row r="13" spans="1:17" ht="15.75" x14ac:dyDescent="0.25">
      <c r="A13" s="53"/>
      <c r="B13" s="162" t="s">
        <v>21</v>
      </c>
      <c r="C13" s="54">
        <v>1</v>
      </c>
      <c r="D13" s="115">
        <f>ЗП!D9/1000</f>
        <v>327.96800000000002</v>
      </c>
      <c r="E13" s="55">
        <f>C13/$O$9</f>
        <v>0.2</v>
      </c>
      <c r="F13" s="55">
        <f>D13/$O$9</f>
        <v>65.593600000000009</v>
      </c>
      <c r="G13" s="55">
        <f>C13/$O$9</f>
        <v>0.2</v>
      </c>
      <c r="H13" s="55">
        <f>D13/$O$9</f>
        <v>65.593600000000009</v>
      </c>
      <c r="I13" s="55">
        <f>C13/$O$9</f>
        <v>0.2</v>
      </c>
      <c r="J13" s="55">
        <f>D13/$O$9</f>
        <v>65.593600000000009</v>
      </c>
      <c r="K13" s="55">
        <f>C13/$O$9</f>
        <v>0.2</v>
      </c>
      <c r="L13" s="55">
        <f>D13/$O$9</f>
        <v>65.593600000000009</v>
      </c>
      <c r="M13" s="55">
        <f>C13/$O$9</f>
        <v>0.2</v>
      </c>
      <c r="N13" s="55">
        <f>D13/$O$9</f>
        <v>65.593600000000009</v>
      </c>
      <c r="O13" s="104">
        <f>P13-Q13</f>
        <v>0</v>
      </c>
      <c r="P13" s="103">
        <f t="shared" ref="P13:P20" si="8">N13+L13+J13+H13+F13</f>
        <v>327.96800000000007</v>
      </c>
      <c r="Q13" s="35">
        <f t="shared" ref="Q13:Q20" si="9">D13</f>
        <v>327.96800000000002</v>
      </c>
    </row>
    <row r="14" spans="1:17" ht="15.75" x14ac:dyDescent="0.25">
      <c r="A14" s="53"/>
      <c r="B14" s="114" t="s">
        <v>187</v>
      </c>
      <c r="C14" s="54">
        <v>0.5</v>
      </c>
      <c r="D14" s="115">
        <f>ЗП!D10/1000</f>
        <v>163.11042</v>
      </c>
      <c r="E14" s="55">
        <f t="shared" ref="E14:E20" si="10">C14/$O$9</f>
        <v>0.1</v>
      </c>
      <c r="F14" s="55">
        <f t="shared" ref="F14:F20" si="11">D14/$O$9</f>
        <v>32.622084000000001</v>
      </c>
      <c r="G14" s="55">
        <f t="shared" ref="G14:G20" si="12">C14/$O$9</f>
        <v>0.1</v>
      </c>
      <c r="H14" s="55">
        <f t="shared" ref="H14:H20" si="13">D14/$O$9</f>
        <v>32.622084000000001</v>
      </c>
      <c r="I14" s="55">
        <f t="shared" ref="I14:I20" si="14">C14/$O$9</f>
        <v>0.1</v>
      </c>
      <c r="J14" s="55">
        <f t="shared" ref="J14:J20" si="15">D14/$O$9</f>
        <v>32.622084000000001</v>
      </c>
      <c r="K14" s="55">
        <f t="shared" ref="K14:K20" si="16">C14/$O$9</f>
        <v>0.1</v>
      </c>
      <c r="L14" s="55">
        <f t="shared" ref="L14:L20" si="17">D14/$O$9</f>
        <v>32.622084000000001</v>
      </c>
      <c r="M14" s="55">
        <f t="shared" ref="M14:M20" si="18">C14/$O$9</f>
        <v>0.1</v>
      </c>
      <c r="N14" s="55">
        <f t="shared" ref="N14:N20" si="19">D14/$O$9</f>
        <v>32.622084000000001</v>
      </c>
      <c r="O14" s="104">
        <f t="shared" ref="O14:O43" si="20">P14-Q14</f>
        <v>0</v>
      </c>
      <c r="P14" s="103">
        <f t="shared" si="8"/>
        <v>163.11042</v>
      </c>
      <c r="Q14" s="35">
        <f t="shared" si="9"/>
        <v>163.11042</v>
      </c>
    </row>
    <row r="15" spans="1:17" ht="15.75" x14ac:dyDescent="0.25">
      <c r="A15" s="53"/>
      <c r="B15" s="114" t="s">
        <v>22</v>
      </c>
      <c r="C15" s="54">
        <v>0</v>
      </c>
      <c r="D15" s="115">
        <f>ЗП!D11/1000</f>
        <v>0</v>
      </c>
      <c r="E15" s="55">
        <f>C15/1</f>
        <v>0</v>
      </c>
      <c r="F15" s="55">
        <f>D15/1</f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104">
        <f t="shared" si="20"/>
        <v>0</v>
      </c>
      <c r="P15" s="103">
        <f t="shared" si="8"/>
        <v>0</v>
      </c>
      <c r="Q15" s="35">
        <f t="shared" si="9"/>
        <v>0</v>
      </c>
    </row>
    <row r="16" spans="1:17" ht="15.75" x14ac:dyDescent="0.25">
      <c r="A16" s="53"/>
      <c r="B16" s="114" t="s">
        <v>23</v>
      </c>
      <c r="C16" s="54">
        <v>0.5</v>
      </c>
      <c r="D16" s="115">
        <f>ЗП!D12/1000</f>
        <v>163.11642000000001</v>
      </c>
      <c r="E16" s="55">
        <f t="shared" si="10"/>
        <v>0.1</v>
      </c>
      <c r="F16" s="55">
        <f t="shared" si="11"/>
        <v>32.623283999999998</v>
      </c>
      <c r="G16" s="55">
        <f t="shared" si="12"/>
        <v>0.1</v>
      </c>
      <c r="H16" s="55">
        <f t="shared" si="13"/>
        <v>32.623283999999998</v>
      </c>
      <c r="I16" s="55">
        <f t="shared" si="14"/>
        <v>0.1</v>
      </c>
      <c r="J16" s="55">
        <f t="shared" si="15"/>
        <v>32.623283999999998</v>
      </c>
      <c r="K16" s="55">
        <f t="shared" si="16"/>
        <v>0.1</v>
      </c>
      <c r="L16" s="55">
        <f t="shared" si="17"/>
        <v>32.623283999999998</v>
      </c>
      <c r="M16" s="55">
        <f t="shared" si="18"/>
        <v>0.1</v>
      </c>
      <c r="N16" s="55">
        <f t="shared" si="19"/>
        <v>32.623283999999998</v>
      </c>
      <c r="O16" s="104">
        <f t="shared" si="20"/>
        <v>0</v>
      </c>
      <c r="P16" s="103">
        <f t="shared" si="8"/>
        <v>163.11642000000001</v>
      </c>
      <c r="Q16" s="35">
        <f t="shared" si="9"/>
        <v>163.11642000000001</v>
      </c>
    </row>
    <row r="17" spans="1:17" ht="15.75" x14ac:dyDescent="0.25">
      <c r="A17" s="53"/>
      <c r="B17" s="114" t="s">
        <v>24</v>
      </c>
      <c r="C17" s="54">
        <v>1</v>
      </c>
      <c r="D17" s="115">
        <f>ЗП!D13/1000</f>
        <v>317.09487000000001</v>
      </c>
      <c r="E17" s="55">
        <f t="shared" si="10"/>
        <v>0.2</v>
      </c>
      <c r="F17" s="55">
        <f t="shared" si="11"/>
        <v>63.418974000000006</v>
      </c>
      <c r="G17" s="55">
        <f t="shared" si="12"/>
        <v>0.2</v>
      </c>
      <c r="H17" s="55">
        <f t="shared" si="13"/>
        <v>63.418974000000006</v>
      </c>
      <c r="I17" s="55">
        <f t="shared" si="14"/>
        <v>0.2</v>
      </c>
      <c r="J17" s="55">
        <f t="shared" si="15"/>
        <v>63.418974000000006</v>
      </c>
      <c r="K17" s="55">
        <f t="shared" si="16"/>
        <v>0.2</v>
      </c>
      <c r="L17" s="55">
        <f t="shared" si="17"/>
        <v>63.418974000000006</v>
      </c>
      <c r="M17" s="55">
        <f t="shared" si="18"/>
        <v>0.2</v>
      </c>
      <c r="N17" s="55">
        <f t="shared" si="19"/>
        <v>63.418974000000006</v>
      </c>
      <c r="O17" s="104">
        <f t="shared" si="20"/>
        <v>0</v>
      </c>
      <c r="P17" s="103">
        <f t="shared" si="8"/>
        <v>317.09487000000001</v>
      </c>
      <c r="Q17" s="35">
        <f t="shared" si="9"/>
        <v>317.09487000000001</v>
      </c>
    </row>
    <row r="18" spans="1:17" ht="15.75" x14ac:dyDescent="0.25">
      <c r="A18" s="53"/>
      <c r="B18" s="114" t="s">
        <v>25</v>
      </c>
      <c r="C18" s="54">
        <v>0.5</v>
      </c>
      <c r="D18" s="115">
        <f>ЗП!D14/1000</f>
        <v>152.23639</v>
      </c>
      <c r="E18" s="55">
        <f>C18/1</f>
        <v>0.5</v>
      </c>
      <c r="F18" s="55">
        <f>D18/1</f>
        <v>152.23639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104">
        <f t="shared" si="20"/>
        <v>0</v>
      </c>
      <c r="P18" s="103">
        <f t="shared" si="8"/>
        <v>152.23639</v>
      </c>
      <c r="Q18" s="35">
        <f t="shared" si="9"/>
        <v>152.23639</v>
      </c>
    </row>
    <row r="19" spans="1:17" ht="15.75" x14ac:dyDescent="0.25">
      <c r="A19" s="53"/>
      <c r="B19" s="114" t="s">
        <v>26</v>
      </c>
      <c r="C19" s="54">
        <v>1</v>
      </c>
      <c r="D19" s="115">
        <f>ЗП!D15/1000</f>
        <v>289.47278</v>
      </c>
      <c r="E19" s="55">
        <f t="shared" si="10"/>
        <v>0.2</v>
      </c>
      <c r="F19" s="55">
        <f t="shared" si="11"/>
        <v>57.894556000000001</v>
      </c>
      <c r="G19" s="55">
        <f t="shared" si="12"/>
        <v>0.2</v>
      </c>
      <c r="H19" s="55">
        <f t="shared" si="13"/>
        <v>57.894556000000001</v>
      </c>
      <c r="I19" s="55">
        <f t="shared" si="14"/>
        <v>0.2</v>
      </c>
      <c r="J19" s="55">
        <f t="shared" si="15"/>
        <v>57.894556000000001</v>
      </c>
      <c r="K19" s="55">
        <f t="shared" si="16"/>
        <v>0.2</v>
      </c>
      <c r="L19" s="55">
        <f t="shared" si="17"/>
        <v>57.894556000000001</v>
      </c>
      <c r="M19" s="55">
        <f t="shared" si="18"/>
        <v>0.2</v>
      </c>
      <c r="N19" s="55">
        <f t="shared" si="19"/>
        <v>57.894556000000001</v>
      </c>
      <c r="O19" s="104">
        <f t="shared" si="20"/>
        <v>0</v>
      </c>
      <c r="P19" s="103">
        <f t="shared" si="8"/>
        <v>289.47278</v>
      </c>
      <c r="Q19" s="35">
        <f t="shared" si="9"/>
        <v>289.47278</v>
      </c>
    </row>
    <row r="20" spans="1:17" ht="15.75" x14ac:dyDescent="0.25">
      <c r="A20" s="53"/>
      <c r="B20" s="114" t="s">
        <v>27</v>
      </c>
      <c r="C20" s="54">
        <v>7</v>
      </c>
      <c r="D20" s="115">
        <f>ЗП!D16/1000</f>
        <v>1768.9458400000001</v>
      </c>
      <c r="E20" s="55">
        <f t="shared" si="10"/>
        <v>1.4</v>
      </c>
      <c r="F20" s="55">
        <f t="shared" si="11"/>
        <v>353.78916800000002</v>
      </c>
      <c r="G20" s="55">
        <f t="shared" si="12"/>
        <v>1.4</v>
      </c>
      <c r="H20" s="55">
        <f t="shared" si="13"/>
        <v>353.78916800000002</v>
      </c>
      <c r="I20" s="55">
        <f t="shared" si="14"/>
        <v>1.4</v>
      </c>
      <c r="J20" s="55">
        <f t="shared" si="15"/>
        <v>353.78916800000002</v>
      </c>
      <c r="K20" s="55">
        <f t="shared" si="16"/>
        <v>1.4</v>
      </c>
      <c r="L20" s="55">
        <f t="shared" si="17"/>
        <v>353.78916800000002</v>
      </c>
      <c r="M20" s="55">
        <f t="shared" si="18"/>
        <v>1.4</v>
      </c>
      <c r="N20" s="55">
        <f t="shared" si="19"/>
        <v>353.78916800000002</v>
      </c>
      <c r="O20" s="104">
        <f t="shared" si="20"/>
        <v>0</v>
      </c>
      <c r="P20" s="103">
        <f t="shared" si="8"/>
        <v>1768.9458400000001</v>
      </c>
      <c r="Q20" s="35">
        <f t="shared" si="9"/>
        <v>1768.9458400000001</v>
      </c>
    </row>
    <row r="21" spans="1:17" ht="33.75" customHeight="1" x14ac:dyDescent="0.25">
      <c r="A21" s="116"/>
      <c r="B21" s="117" t="s">
        <v>64</v>
      </c>
      <c r="C21" s="118" t="s">
        <v>66</v>
      </c>
      <c r="D21" s="111">
        <f>D12</f>
        <v>3181.9447200000004</v>
      </c>
      <c r="E21" s="111">
        <f t="shared" ref="E21:J21" si="21">E12</f>
        <v>2.7</v>
      </c>
      <c r="F21" s="111">
        <f t="shared" si="21"/>
        <v>758.17805599999997</v>
      </c>
      <c r="G21" s="111">
        <f t="shared" si="21"/>
        <v>2.2000000000000002</v>
      </c>
      <c r="H21" s="111">
        <f t="shared" si="21"/>
        <v>605.94166600000005</v>
      </c>
      <c r="I21" s="111">
        <f t="shared" si="21"/>
        <v>2.2000000000000002</v>
      </c>
      <c r="J21" s="111">
        <f t="shared" si="21"/>
        <v>605.94166600000005</v>
      </c>
      <c r="K21" s="111">
        <f t="shared" ref="K21:N21" si="22">K12</f>
        <v>2.2000000000000002</v>
      </c>
      <c r="L21" s="111">
        <f t="shared" si="22"/>
        <v>605.94166600000005</v>
      </c>
      <c r="M21" s="111">
        <f t="shared" si="22"/>
        <v>2.2000000000000002</v>
      </c>
      <c r="N21" s="112">
        <f t="shared" si="22"/>
        <v>605.94166600000005</v>
      </c>
      <c r="O21" s="104"/>
      <c r="P21" s="103"/>
      <c r="Q21" s="35"/>
    </row>
    <row r="22" spans="1:17" ht="47.25" x14ac:dyDescent="0.25">
      <c r="A22" s="116"/>
      <c r="B22" s="117" t="s">
        <v>65</v>
      </c>
      <c r="C22" s="118" t="s">
        <v>66</v>
      </c>
      <c r="D22" s="111">
        <f>D21*30.199736651%</f>
        <v>960.93892582039939</v>
      </c>
      <c r="E22" s="118" t="s">
        <v>66</v>
      </c>
      <c r="F22" s="111">
        <f>F21*30.199736651%</f>
        <v>228.96777625767129</v>
      </c>
      <c r="G22" s="118" t="s">
        <v>66</v>
      </c>
      <c r="H22" s="111">
        <f>H21*30.199736651%</f>
        <v>182.992787390682</v>
      </c>
      <c r="I22" s="118" t="s">
        <v>66</v>
      </c>
      <c r="J22" s="111">
        <f>J21*30.199736651%</f>
        <v>182.992787390682</v>
      </c>
      <c r="K22" s="118" t="s">
        <v>66</v>
      </c>
      <c r="L22" s="111">
        <f>L21*30.199736651%</f>
        <v>182.992787390682</v>
      </c>
      <c r="M22" s="118" t="s">
        <v>66</v>
      </c>
      <c r="N22" s="111">
        <f>N21*30.199736651%</f>
        <v>182.992787390682</v>
      </c>
      <c r="O22" s="104"/>
      <c r="P22" s="103"/>
      <c r="Q22" s="35"/>
    </row>
    <row r="23" spans="1:17" ht="31.5" x14ac:dyDescent="0.25">
      <c r="A23" s="116"/>
      <c r="B23" s="117" t="s">
        <v>67</v>
      </c>
      <c r="C23" s="118" t="s">
        <v>66</v>
      </c>
      <c r="D23" s="111">
        <f>D21+D22</f>
        <v>4142.8836458203996</v>
      </c>
      <c r="E23" s="118" t="s">
        <v>66</v>
      </c>
      <c r="F23" s="111">
        <f>F21+F22</f>
        <v>987.14583225767126</v>
      </c>
      <c r="G23" s="118" t="s">
        <v>66</v>
      </c>
      <c r="H23" s="111">
        <f>H21+H22</f>
        <v>788.93445339068205</v>
      </c>
      <c r="I23" s="118" t="s">
        <v>66</v>
      </c>
      <c r="J23" s="111">
        <f>J21+J22</f>
        <v>788.93445339068205</v>
      </c>
      <c r="K23" s="118" t="s">
        <v>66</v>
      </c>
      <c r="L23" s="111">
        <f>L21+L22</f>
        <v>788.93445339068205</v>
      </c>
      <c r="M23" s="118" t="s">
        <v>66</v>
      </c>
      <c r="N23" s="112">
        <f>N21+N22</f>
        <v>788.93445339068205</v>
      </c>
      <c r="O23" s="104"/>
      <c r="P23" s="103"/>
      <c r="Q23" s="35"/>
    </row>
    <row r="24" spans="1:17" s="45" customFormat="1" ht="63" x14ac:dyDescent="0.25">
      <c r="A24" s="109">
        <v>2</v>
      </c>
      <c r="B24" s="119" t="s">
        <v>68</v>
      </c>
      <c r="C24" s="120">
        <f>C25+C31</f>
        <v>30.75</v>
      </c>
      <c r="D24" s="120">
        <f t="shared" ref="D24:J24" si="23">D25+D31</f>
        <v>8650.6546400000007</v>
      </c>
      <c r="E24" s="120">
        <f t="shared" si="23"/>
        <v>19.05</v>
      </c>
      <c r="F24" s="120">
        <f t="shared" si="23"/>
        <v>4567.9033279999994</v>
      </c>
      <c r="G24" s="120">
        <f t="shared" si="23"/>
        <v>3.5500000000000003</v>
      </c>
      <c r="H24" s="120">
        <f t="shared" si="23"/>
        <v>1188.4482780000001</v>
      </c>
      <c r="I24" s="120">
        <f t="shared" si="23"/>
        <v>2.2999999999999998</v>
      </c>
      <c r="J24" s="120">
        <f t="shared" si="23"/>
        <v>852.92737799999986</v>
      </c>
      <c r="K24" s="120">
        <f t="shared" ref="K24" si="24">K25+K31</f>
        <v>2.2999999999999998</v>
      </c>
      <c r="L24" s="120">
        <f t="shared" ref="L24" si="25">L25+L31</f>
        <v>852.92737799999986</v>
      </c>
      <c r="M24" s="120">
        <f t="shared" ref="M24" si="26">M25+M31</f>
        <v>3.5500000000000003</v>
      </c>
      <c r="N24" s="121">
        <f t="shared" ref="N24" si="27">N25+N31</f>
        <v>1188.4482780000001</v>
      </c>
      <c r="O24" s="104"/>
      <c r="P24" s="103"/>
      <c r="Q24" s="35"/>
    </row>
    <row r="25" spans="1:17" ht="15.75" x14ac:dyDescent="0.25">
      <c r="A25" s="122" t="s">
        <v>69</v>
      </c>
      <c r="B25" s="110" t="s">
        <v>70</v>
      </c>
      <c r="C25" s="123">
        <f>SUM(C26:C30)</f>
        <v>5</v>
      </c>
      <c r="D25" s="111">
        <f>D26+D27+D28+D29+D30</f>
        <v>2478.2210999999998</v>
      </c>
      <c r="E25" s="111">
        <f>SUM(E26:E30)</f>
        <v>1</v>
      </c>
      <c r="F25" s="111">
        <f>SUM(F26:F30)</f>
        <v>495.64421999999996</v>
      </c>
      <c r="G25" s="111">
        <f t="shared" ref="G25:N25" si="28">SUM(G26:G30)</f>
        <v>1</v>
      </c>
      <c r="H25" s="111">
        <f t="shared" si="28"/>
        <v>495.64421999999996</v>
      </c>
      <c r="I25" s="111">
        <f t="shared" si="28"/>
        <v>1</v>
      </c>
      <c r="J25" s="111">
        <f t="shared" si="28"/>
        <v>495.64421999999996</v>
      </c>
      <c r="K25" s="111">
        <f t="shared" si="28"/>
        <v>1</v>
      </c>
      <c r="L25" s="111">
        <f t="shared" si="28"/>
        <v>495.64421999999996</v>
      </c>
      <c r="M25" s="111">
        <f t="shared" si="28"/>
        <v>1</v>
      </c>
      <c r="N25" s="111">
        <f t="shared" si="28"/>
        <v>495.64421999999996</v>
      </c>
      <c r="O25" s="104"/>
      <c r="P25" s="103"/>
      <c r="Q25" s="35"/>
    </row>
    <row r="26" spans="1:17" ht="15.75" x14ac:dyDescent="0.25">
      <c r="A26" s="53"/>
      <c r="B26" s="124" t="s">
        <v>16</v>
      </c>
      <c r="C26" s="125">
        <v>1</v>
      </c>
      <c r="D26" s="126">
        <f>ЗП!D3/1000</f>
        <v>654.34159999999997</v>
      </c>
      <c r="E26" s="127">
        <f>C26/$O$9</f>
        <v>0.2</v>
      </c>
      <c r="F26" s="128">
        <f>D26/$O$9</f>
        <v>130.86831999999998</v>
      </c>
      <c r="G26" s="127">
        <f>C26/$O$9</f>
        <v>0.2</v>
      </c>
      <c r="H26" s="128">
        <f>D26/$O$9</f>
        <v>130.86831999999998</v>
      </c>
      <c r="I26" s="127">
        <f>C26/$O$9</f>
        <v>0.2</v>
      </c>
      <c r="J26" s="128">
        <f>D26/$O$9</f>
        <v>130.86831999999998</v>
      </c>
      <c r="K26" s="127">
        <f>C26/$O$9</f>
        <v>0.2</v>
      </c>
      <c r="L26" s="128">
        <f>D26/$O$9</f>
        <v>130.86831999999998</v>
      </c>
      <c r="M26" s="127">
        <f>C26/$O$9</f>
        <v>0.2</v>
      </c>
      <c r="N26" s="128">
        <f>D26/$O$9</f>
        <v>130.86831999999998</v>
      </c>
      <c r="O26" s="104">
        <f t="shared" si="20"/>
        <v>0</v>
      </c>
      <c r="P26" s="103">
        <f>N26+L26+J26+H26+F26</f>
        <v>654.34159999999997</v>
      </c>
      <c r="Q26" s="35">
        <f>D26</f>
        <v>654.34159999999997</v>
      </c>
    </row>
    <row r="27" spans="1:17" ht="45" x14ac:dyDescent="0.25">
      <c r="A27" s="53"/>
      <c r="B27" s="124" t="s">
        <v>17</v>
      </c>
      <c r="C27" s="127">
        <v>1</v>
      </c>
      <c r="D27" s="126">
        <f>ЗП!D4/1000</f>
        <v>457.64297999999997</v>
      </c>
      <c r="E27" s="127">
        <f t="shared" ref="E27:E30" si="29">C27/$O$9</f>
        <v>0.2</v>
      </c>
      <c r="F27" s="128">
        <f t="shared" ref="F27:F30" si="30">D27/$O$9</f>
        <v>91.528595999999993</v>
      </c>
      <c r="G27" s="127">
        <f t="shared" ref="G27:G30" si="31">C27/$O$9</f>
        <v>0.2</v>
      </c>
      <c r="H27" s="128">
        <f t="shared" ref="H27:H30" si="32">D27/$O$9</f>
        <v>91.528595999999993</v>
      </c>
      <c r="I27" s="127">
        <f t="shared" ref="I27:I30" si="33">C27/$O$9</f>
        <v>0.2</v>
      </c>
      <c r="J27" s="128">
        <f t="shared" ref="J27:J30" si="34">D27/$O$9</f>
        <v>91.528595999999993</v>
      </c>
      <c r="K27" s="127">
        <f t="shared" ref="K27:K30" si="35">C27/$O$9</f>
        <v>0.2</v>
      </c>
      <c r="L27" s="128">
        <f t="shared" ref="L27:L30" si="36">D27/$O$9</f>
        <v>91.528595999999993</v>
      </c>
      <c r="M27" s="127">
        <f t="shared" ref="M27:M30" si="37">C27/$O$9</f>
        <v>0.2</v>
      </c>
      <c r="N27" s="128">
        <f t="shared" ref="N27:N30" si="38">D27/$O$9</f>
        <v>91.528595999999993</v>
      </c>
      <c r="O27" s="104">
        <f t="shared" si="20"/>
        <v>0</v>
      </c>
      <c r="P27" s="103">
        <f t="shared" ref="P27:P43" si="39">N27+L27+J27+H27+F27</f>
        <v>457.64297999999997</v>
      </c>
      <c r="Q27" s="35">
        <f t="shared" ref="Q27:Q43" si="40">D27</f>
        <v>457.64297999999997</v>
      </c>
    </row>
    <row r="28" spans="1:17" ht="15.75" x14ac:dyDescent="0.25">
      <c r="A28" s="53"/>
      <c r="B28" s="124" t="s">
        <v>18</v>
      </c>
      <c r="C28" s="127">
        <v>1</v>
      </c>
      <c r="D28" s="126">
        <f>ЗП!D5/1000</f>
        <v>588.70743999999991</v>
      </c>
      <c r="E28" s="127">
        <f t="shared" si="29"/>
        <v>0.2</v>
      </c>
      <c r="F28" s="128">
        <f t="shared" si="30"/>
        <v>117.74148799999998</v>
      </c>
      <c r="G28" s="127">
        <f t="shared" si="31"/>
        <v>0.2</v>
      </c>
      <c r="H28" s="128">
        <f t="shared" si="32"/>
        <v>117.74148799999998</v>
      </c>
      <c r="I28" s="127">
        <f t="shared" si="33"/>
        <v>0.2</v>
      </c>
      <c r="J28" s="128">
        <f t="shared" si="34"/>
        <v>117.74148799999998</v>
      </c>
      <c r="K28" s="127">
        <f t="shared" si="35"/>
        <v>0.2</v>
      </c>
      <c r="L28" s="128">
        <f t="shared" si="36"/>
        <v>117.74148799999998</v>
      </c>
      <c r="M28" s="127">
        <f t="shared" si="37"/>
        <v>0.2</v>
      </c>
      <c r="N28" s="128">
        <f t="shared" si="38"/>
        <v>117.74148799999998</v>
      </c>
      <c r="O28" s="104">
        <f t="shared" si="20"/>
        <v>0</v>
      </c>
      <c r="P28" s="103">
        <f t="shared" si="39"/>
        <v>588.70743999999991</v>
      </c>
      <c r="Q28" s="35">
        <f t="shared" si="40"/>
        <v>588.70743999999991</v>
      </c>
    </row>
    <row r="29" spans="1:17" ht="15.75" x14ac:dyDescent="0.25">
      <c r="A29" s="53"/>
      <c r="B29" s="124" t="s">
        <v>184</v>
      </c>
      <c r="C29" s="127">
        <v>1</v>
      </c>
      <c r="D29" s="126">
        <v>381.83600000000001</v>
      </c>
      <c r="E29" s="127">
        <f t="shared" si="29"/>
        <v>0.2</v>
      </c>
      <c r="F29" s="128">
        <f t="shared" si="30"/>
        <v>76.367199999999997</v>
      </c>
      <c r="G29" s="127">
        <f t="shared" si="31"/>
        <v>0.2</v>
      </c>
      <c r="H29" s="128">
        <f t="shared" si="32"/>
        <v>76.367199999999997</v>
      </c>
      <c r="I29" s="127">
        <f t="shared" si="33"/>
        <v>0.2</v>
      </c>
      <c r="J29" s="128">
        <f t="shared" si="34"/>
        <v>76.367199999999997</v>
      </c>
      <c r="K29" s="127">
        <f t="shared" si="35"/>
        <v>0.2</v>
      </c>
      <c r="L29" s="128">
        <f t="shared" si="36"/>
        <v>76.367199999999997</v>
      </c>
      <c r="M29" s="127">
        <f t="shared" si="37"/>
        <v>0.2</v>
      </c>
      <c r="N29" s="128">
        <f t="shared" si="38"/>
        <v>76.367199999999997</v>
      </c>
      <c r="O29" s="104"/>
      <c r="P29" s="103"/>
      <c r="Q29" s="35"/>
    </row>
    <row r="30" spans="1:17" ht="30" x14ac:dyDescent="0.25">
      <c r="A30" s="53"/>
      <c r="B30" s="124" t="s">
        <v>19</v>
      </c>
      <c r="C30" s="127">
        <v>1</v>
      </c>
      <c r="D30" s="126">
        <f>ЗП!D7/1000</f>
        <v>395.69308000000001</v>
      </c>
      <c r="E30" s="127">
        <f t="shared" si="29"/>
        <v>0.2</v>
      </c>
      <c r="F30" s="128">
        <f t="shared" si="30"/>
        <v>79.138615999999999</v>
      </c>
      <c r="G30" s="127">
        <f t="shared" si="31"/>
        <v>0.2</v>
      </c>
      <c r="H30" s="128">
        <f t="shared" si="32"/>
        <v>79.138615999999999</v>
      </c>
      <c r="I30" s="127">
        <f t="shared" si="33"/>
        <v>0.2</v>
      </c>
      <c r="J30" s="128">
        <f t="shared" si="34"/>
        <v>79.138615999999999</v>
      </c>
      <c r="K30" s="127">
        <f t="shared" si="35"/>
        <v>0.2</v>
      </c>
      <c r="L30" s="128">
        <f t="shared" si="36"/>
        <v>79.138615999999999</v>
      </c>
      <c r="M30" s="127">
        <f t="shared" si="37"/>
        <v>0.2</v>
      </c>
      <c r="N30" s="128">
        <f t="shared" si="38"/>
        <v>79.138615999999999</v>
      </c>
      <c r="O30" s="104">
        <f t="shared" si="20"/>
        <v>0</v>
      </c>
      <c r="P30" s="103">
        <f t="shared" si="39"/>
        <v>395.69308000000001</v>
      </c>
      <c r="Q30" s="35">
        <f t="shared" si="40"/>
        <v>395.69308000000001</v>
      </c>
    </row>
    <row r="31" spans="1:17" ht="24" customHeight="1" x14ac:dyDescent="0.25">
      <c r="A31" s="51" t="s">
        <v>71</v>
      </c>
      <c r="B31" s="113" t="s">
        <v>168</v>
      </c>
      <c r="C31" s="136">
        <f>SUM(C32:C43)</f>
        <v>25.75</v>
      </c>
      <c r="D31" s="111">
        <f>SUM(D32:D43)</f>
        <v>6172.43354</v>
      </c>
      <c r="E31" s="111">
        <f t="shared" ref="E31:J31" si="41">SUM(E32:E43)</f>
        <v>18.05</v>
      </c>
      <c r="F31" s="111">
        <f t="shared" si="41"/>
        <v>4072.2591079999993</v>
      </c>
      <c r="G31" s="111">
        <f t="shared" si="41"/>
        <v>2.5500000000000003</v>
      </c>
      <c r="H31" s="111">
        <f t="shared" si="41"/>
        <v>692.80405800000005</v>
      </c>
      <c r="I31" s="111">
        <f t="shared" si="41"/>
        <v>1.2999999999999998</v>
      </c>
      <c r="J31" s="111">
        <f t="shared" si="41"/>
        <v>357.28315799999996</v>
      </c>
      <c r="K31" s="111">
        <f t="shared" ref="K31" si="42">SUM(K32:K43)</f>
        <v>1.2999999999999998</v>
      </c>
      <c r="L31" s="111">
        <f t="shared" ref="L31" si="43">SUM(L32:L43)</f>
        <v>357.28315799999996</v>
      </c>
      <c r="M31" s="111">
        <f t="shared" ref="M31" si="44">SUM(M32:M43)</f>
        <v>2.5500000000000003</v>
      </c>
      <c r="N31" s="112">
        <f t="shared" ref="N31" si="45">SUM(N32:N43)</f>
        <v>692.80405800000005</v>
      </c>
      <c r="O31" s="104"/>
      <c r="P31" s="103"/>
      <c r="Q31" s="35"/>
    </row>
    <row r="32" spans="1:17" ht="15.75" x14ac:dyDescent="0.25">
      <c r="A32" s="53"/>
      <c r="B32" s="124" t="s">
        <v>29</v>
      </c>
      <c r="C32" s="59">
        <v>1.5</v>
      </c>
      <c r="D32" s="129">
        <f>ЗП!D18/1000</f>
        <v>423.024</v>
      </c>
      <c r="E32" s="55">
        <f>C32/$O$9</f>
        <v>0.3</v>
      </c>
      <c r="F32" s="60">
        <f>D32/$O$9</f>
        <v>84.604799999999997</v>
      </c>
      <c r="G32" s="55">
        <f>C32/$O$9</f>
        <v>0.3</v>
      </c>
      <c r="H32" s="60">
        <f>D32/$O$9</f>
        <v>84.604799999999997</v>
      </c>
      <c r="I32" s="55">
        <f>C32/$O$9</f>
        <v>0.3</v>
      </c>
      <c r="J32" s="60">
        <f>D32/$O$9</f>
        <v>84.604799999999997</v>
      </c>
      <c r="K32" s="55">
        <f>C32/$O$9</f>
        <v>0.3</v>
      </c>
      <c r="L32" s="60">
        <f>D32/$O$9</f>
        <v>84.604799999999997</v>
      </c>
      <c r="M32" s="55">
        <f>C32/$O$9</f>
        <v>0.3</v>
      </c>
      <c r="N32" s="60">
        <f>D32/$O$9</f>
        <v>84.604799999999997</v>
      </c>
      <c r="O32" s="104">
        <f t="shared" si="20"/>
        <v>0</v>
      </c>
      <c r="P32" s="103">
        <f t="shared" si="39"/>
        <v>423.024</v>
      </c>
      <c r="Q32" s="35">
        <f t="shared" si="40"/>
        <v>423.024</v>
      </c>
    </row>
    <row r="33" spans="1:17" ht="30" x14ac:dyDescent="0.25">
      <c r="A33" s="53"/>
      <c r="B33" s="124" t="s">
        <v>30</v>
      </c>
      <c r="C33" s="54">
        <v>1</v>
      </c>
      <c r="D33" s="129">
        <f>ЗП!D19/1000</f>
        <v>226.512</v>
      </c>
      <c r="E33" s="55">
        <f t="shared" ref="E33:E42" si="46">C33/$O$9</f>
        <v>0.2</v>
      </c>
      <c r="F33" s="60">
        <f t="shared" ref="F33:F42" si="47">D33/$O$9</f>
        <v>45.302399999999999</v>
      </c>
      <c r="G33" s="55">
        <f t="shared" ref="G33:G42" si="48">C33/$O$9</f>
        <v>0.2</v>
      </c>
      <c r="H33" s="60">
        <f t="shared" ref="H33:H42" si="49">D33/$O$9</f>
        <v>45.302399999999999</v>
      </c>
      <c r="I33" s="55">
        <f t="shared" ref="I33:I42" si="50">C33/$O$9</f>
        <v>0.2</v>
      </c>
      <c r="J33" s="60">
        <f t="shared" ref="J33:J42" si="51">D33/$O$9</f>
        <v>45.302399999999999</v>
      </c>
      <c r="K33" s="55">
        <f t="shared" ref="K33:K42" si="52">C33/$O$9</f>
        <v>0.2</v>
      </c>
      <c r="L33" s="60">
        <f t="shared" ref="L33:L42" si="53">D33/$O$9</f>
        <v>45.302399999999999</v>
      </c>
      <c r="M33" s="55">
        <f t="shared" ref="M33:M42" si="54">C33/$O$9</f>
        <v>0.2</v>
      </c>
      <c r="N33" s="60">
        <f t="shared" ref="N33:N42" si="55">D33/$O$9</f>
        <v>45.302399999999999</v>
      </c>
      <c r="O33" s="104">
        <f t="shared" si="20"/>
        <v>0</v>
      </c>
      <c r="P33" s="103">
        <f t="shared" si="39"/>
        <v>226.512</v>
      </c>
      <c r="Q33" s="35">
        <f t="shared" si="40"/>
        <v>226.512</v>
      </c>
    </row>
    <row r="34" spans="1:17" ht="15.75" x14ac:dyDescent="0.25">
      <c r="A34" s="53"/>
      <c r="B34" s="124" t="s">
        <v>31</v>
      </c>
      <c r="C34" s="54">
        <v>2</v>
      </c>
      <c r="D34" s="129">
        <f>ЗП!D20/1000</f>
        <v>524.25766999999996</v>
      </c>
      <c r="E34" s="55">
        <v>0</v>
      </c>
      <c r="F34" s="60">
        <v>0</v>
      </c>
      <c r="G34" s="55">
        <f>C34/2</f>
        <v>1</v>
      </c>
      <c r="H34" s="60">
        <f>D34/2</f>
        <v>262.12883499999998</v>
      </c>
      <c r="I34" s="55">
        <v>0</v>
      </c>
      <c r="J34" s="60">
        <v>0</v>
      </c>
      <c r="K34" s="55">
        <v>0</v>
      </c>
      <c r="L34" s="60">
        <v>0</v>
      </c>
      <c r="M34" s="55">
        <f>C34/2</f>
        <v>1</v>
      </c>
      <c r="N34" s="60">
        <f>D34/2</f>
        <v>262.12883499999998</v>
      </c>
      <c r="O34" s="104">
        <f t="shared" si="20"/>
        <v>0</v>
      </c>
      <c r="P34" s="103">
        <f t="shared" si="39"/>
        <v>524.25766999999996</v>
      </c>
      <c r="Q34" s="35">
        <f t="shared" si="40"/>
        <v>524.25766999999996</v>
      </c>
    </row>
    <row r="35" spans="1:17" ht="15.75" x14ac:dyDescent="0.25">
      <c r="A35" s="53"/>
      <c r="B35" s="124" t="s">
        <v>32</v>
      </c>
      <c r="C35" s="54">
        <v>0.5</v>
      </c>
      <c r="D35" s="129">
        <f>ЗП!D21/1000</f>
        <v>146.78413</v>
      </c>
      <c r="E35" s="55">
        <v>0</v>
      </c>
      <c r="F35" s="60">
        <v>0</v>
      </c>
      <c r="G35" s="57">
        <f>C35/2</f>
        <v>0.25</v>
      </c>
      <c r="H35" s="60">
        <f>D35/2</f>
        <v>73.392065000000002</v>
      </c>
      <c r="I35" s="55">
        <v>0</v>
      </c>
      <c r="J35" s="60">
        <v>0</v>
      </c>
      <c r="K35" s="55">
        <v>0</v>
      </c>
      <c r="L35" s="60">
        <v>0</v>
      </c>
      <c r="M35" s="57">
        <f>C35/2</f>
        <v>0.25</v>
      </c>
      <c r="N35" s="60">
        <f>D35/2</f>
        <v>73.392065000000002</v>
      </c>
      <c r="O35" s="104">
        <f t="shared" si="20"/>
        <v>0</v>
      </c>
      <c r="P35" s="103">
        <f t="shared" si="39"/>
        <v>146.78413</v>
      </c>
      <c r="Q35" s="35">
        <f t="shared" si="40"/>
        <v>146.78413</v>
      </c>
    </row>
    <row r="36" spans="1:17" ht="30" x14ac:dyDescent="0.25">
      <c r="A36" s="53"/>
      <c r="B36" s="124" t="s">
        <v>33</v>
      </c>
      <c r="C36" s="54">
        <v>4</v>
      </c>
      <c r="D36" s="129">
        <f>ЗП!D22/1000</f>
        <v>906.048</v>
      </c>
      <c r="E36" s="55">
        <f>C36/1</f>
        <v>4</v>
      </c>
      <c r="F36" s="60">
        <f>D36/1</f>
        <v>906.048</v>
      </c>
      <c r="G36" s="55">
        <v>0</v>
      </c>
      <c r="H36" s="60">
        <v>0</v>
      </c>
      <c r="I36" s="55">
        <v>0</v>
      </c>
      <c r="J36" s="60">
        <v>0</v>
      </c>
      <c r="K36" s="55">
        <v>0</v>
      </c>
      <c r="L36" s="60">
        <v>0</v>
      </c>
      <c r="M36" s="55">
        <v>0</v>
      </c>
      <c r="N36" s="60">
        <v>0</v>
      </c>
      <c r="O36" s="104">
        <f t="shared" si="20"/>
        <v>0</v>
      </c>
      <c r="P36" s="103">
        <f t="shared" si="39"/>
        <v>906.048</v>
      </c>
      <c r="Q36" s="35">
        <f t="shared" si="40"/>
        <v>906.048</v>
      </c>
    </row>
    <row r="37" spans="1:17" ht="15.75" x14ac:dyDescent="0.25">
      <c r="A37" s="53"/>
      <c r="B37" s="124" t="s">
        <v>34</v>
      </c>
      <c r="C37" s="54">
        <v>1</v>
      </c>
      <c r="D37" s="129">
        <f>ЗП!D23/1000</f>
        <v>293.56826000000001</v>
      </c>
      <c r="E37" s="55">
        <f>C37/5</f>
        <v>0.2</v>
      </c>
      <c r="F37" s="60">
        <f t="shared" si="47"/>
        <v>58.713652000000003</v>
      </c>
      <c r="G37" s="55">
        <f t="shared" si="48"/>
        <v>0.2</v>
      </c>
      <c r="H37" s="60">
        <f t="shared" si="49"/>
        <v>58.713652000000003</v>
      </c>
      <c r="I37" s="55">
        <f t="shared" si="50"/>
        <v>0.2</v>
      </c>
      <c r="J37" s="60">
        <f t="shared" si="51"/>
        <v>58.713652000000003</v>
      </c>
      <c r="K37" s="55">
        <f t="shared" si="52"/>
        <v>0.2</v>
      </c>
      <c r="L37" s="60">
        <f t="shared" si="53"/>
        <v>58.713652000000003</v>
      </c>
      <c r="M37" s="55">
        <f t="shared" si="54"/>
        <v>0.2</v>
      </c>
      <c r="N37" s="60">
        <f t="shared" si="55"/>
        <v>58.713652000000003</v>
      </c>
      <c r="O37" s="104">
        <f t="shared" si="20"/>
        <v>0</v>
      </c>
      <c r="P37" s="103">
        <f t="shared" si="39"/>
        <v>293.56826000000001</v>
      </c>
      <c r="Q37" s="35">
        <f t="shared" si="40"/>
        <v>293.56826000000001</v>
      </c>
    </row>
    <row r="38" spans="1:17" ht="33.75" customHeight="1" x14ac:dyDescent="0.25">
      <c r="A38" s="53"/>
      <c r="B38" s="124" t="s">
        <v>35</v>
      </c>
      <c r="C38" s="54">
        <v>1</v>
      </c>
      <c r="D38" s="129">
        <f>ЗП!D24/1000</f>
        <v>335.18122999999997</v>
      </c>
      <c r="E38" s="55">
        <f t="shared" si="46"/>
        <v>0.2</v>
      </c>
      <c r="F38" s="60">
        <f t="shared" si="47"/>
        <v>67.036245999999991</v>
      </c>
      <c r="G38" s="55">
        <f t="shared" si="48"/>
        <v>0.2</v>
      </c>
      <c r="H38" s="60">
        <f t="shared" si="49"/>
        <v>67.036245999999991</v>
      </c>
      <c r="I38" s="55">
        <f t="shared" si="50"/>
        <v>0.2</v>
      </c>
      <c r="J38" s="60">
        <f t="shared" si="51"/>
        <v>67.036245999999991</v>
      </c>
      <c r="K38" s="55">
        <f t="shared" si="52"/>
        <v>0.2</v>
      </c>
      <c r="L38" s="60">
        <f t="shared" si="53"/>
        <v>67.036245999999991</v>
      </c>
      <c r="M38" s="55">
        <f t="shared" si="54"/>
        <v>0.2</v>
      </c>
      <c r="N38" s="60">
        <f t="shared" si="55"/>
        <v>67.036245999999991</v>
      </c>
      <c r="O38" s="104">
        <f t="shared" si="20"/>
        <v>0</v>
      </c>
      <c r="P38" s="103">
        <f t="shared" si="39"/>
        <v>335.18122999999997</v>
      </c>
      <c r="Q38" s="35">
        <f t="shared" si="40"/>
        <v>335.18122999999997</v>
      </c>
    </row>
    <row r="39" spans="1:17" ht="15.75" x14ac:dyDescent="0.25">
      <c r="A39" s="53"/>
      <c r="B39" s="124" t="s">
        <v>36</v>
      </c>
      <c r="C39" s="54">
        <v>1</v>
      </c>
      <c r="D39" s="129">
        <f>ЗП!D25/1000</f>
        <v>281.61829999999998</v>
      </c>
      <c r="E39" s="55">
        <f t="shared" si="46"/>
        <v>0.2</v>
      </c>
      <c r="F39" s="60">
        <f t="shared" si="47"/>
        <v>56.323659999999997</v>
      </c>
      <c r="G39" s="55">
        <f t="shared" si="48"/>
        <v>0.2</v>
      </c>
      <c r="H39" s="60">
        <f t="shared" si="49"/>
        <v>56.323659999999997</v>
      </c>
      <c r="I39" s="55">
        <f t="shared" si="50"/>
        <v>0.2</v>
      </c>
      <c r="J39" s="60">
        <f t="shared" si="51"/>
        <v>56.323659999999997</v>
      </c>
      <c r="K39" s="55">
        <f t="shared" si="52"/>
        <v>0.2</v>
      </c>
      <c r="L39" s="60">
        <f t="shared" si="53"/>
        <v>56.323659999999997</v>
      </c>
      <c r="M39" s="55">
        <f t="shared" si="54"/>
        <v>0.2</v>
      </c>
      <c r="N39" s="60">
        <f t="shared" si="55"/>
        <v>56.323659999999997</v>
      </c>
      <c r="O39" s="104">
        <f t="shared" si="20"/>
        <v>0</v>
      </c>
      <c r="P39" s="103">
        <f t="shared" si="39"/>
        <v>281.61829999999998</v>
      </c>
      <c r="Q39" s="35">
        <f t="shared" si="40"/>
        <v>281.61829999999998</v>
      </c>
    </row>
    <row r="40" spans="1:17" ht="15.75" x14ac:dyDescent="0.25">
      <c r="A40" s="58"/>
      <c r="B40" s="124" t="s">
        <v>37</v>
      </c>
      <c r="C40" s="54">
        <v>3</v>
      </c>
      <c r="D40" s="129">
        <f>ЗП!D26/1000</f>
        <v>600.42694999999992</v>
      </c>
      <c r="E40" s="55">
        <f>C40/1</f>
        <v>3</v>
      </c>
      <c r="F40" s="60">
        <f>D40/1</f>
        <v>600.42694999999992</v>
      </c>
      <c r="G40" s="55">
        <v>0</v>
      </c>
      <c r="H40" s="60">
        <v>0</v>
      </c>
      <c r="I40" s="55">
        <v>0</v>
      </c>
      <c r="J40" s="60">
        <v>0</v>
      </c>
      <c r="K40" s="55">
        <v>0</v>
      </c>
      <c r="L40" s="60">
        <v>0</v>
      </c>
      <c r="M40" s="55">
        <v>0</v>
      </c>
      <c r="N40" s="60">
        <v>0</v>
      </c>
      <c r="O40" s="104">
        <f t="shared" si="20"/>
        <v>0</v>
      </c>
      <c r="P40" s="103">
        <f t="shared" si="39"/>
        <v>600.42694999999992</v>
      </c>
      <c r="Q40" s="35">
        <f t="shared" si="40"/>
        <v>600.42694999999992</v>
      </c>
    </row>
    <row r="41" spans="1:17" ht="15.75" x14ac:dyDescent="0.25">
      <c r="A41" s="58"/>
      <c r="B41" s="124" t="s">
        <v>38</v>
      </c>
      <c r="C41" s="54">
        <v>2</v>
      </c>
      <c r="D41" s="129">
        <f>ЗП!D27/1000</f>
        <v>453.024</v>
      </c>
      <c r="E41" s="55">
        <f>C41/1</f>
        <v>2</v>
      </c>
      <c r="F41" s="60">
        <f>D41/1</f>
        <v>453.024</v>
      </c>
      <c r="G41" s="55">
        <v>0</v>
      </c>
      <c r="H41" s="60">
        <v>0</v>
      </c>
      <c r="I41" s="55">
        <v>0</v>
      </c>
      <c r="J41" s="60">
        <v>0</v>
      </c>
      <c r="K41" s="55">
        <v>0</v>
      </c>
      <c r="L41" s="60">
        <v>0</v>
      </c>
      <c r="M41" s="55">
        <v>0</v>
      </c>
      <c r="N41" s="60">
        <v>0</v>
      </c>
      <c r="O41" s="104">
        <f t="shared" si="20"/>
        <v>0</v>
      </c>
      <c r="P41" s="103">
        <f t="shared" si="39"/>
        <v>453.024</v>
      </c>
      <c r="Q41" s="35">
        <f t="shared" si="40"/>
        <v>453.024</v>
      </c>
    </row>
    <row r="42" spans="1:17" ht="15.75" x14ac:dyDescent="0.25">
      <c r="A42" s="58"/>
      <c r="B42" s="124" t="s">
        <v>39</v>
      </c>
      <c r="C42" s="54">
        <v>1</v>
      </c>
      <c r="D42" s="129">
        <f>ЗП!D28/1000</f>
        <v>226.512</v>
      </c>
      <c r="E42" s="55">
        <f t="shared" si="46"/>
        <v>0.2</v>
      </c>
      <c r="F42" s="60">
        <f t="shared" si="47"/>
        <v>45.302399999999999</v>
      </c>
      <c r="G42" s="55">
        <f t="shared" si="48"/>
        <v>0.2</v>
      </c>
      <c r="H42" s="60">
        <f t="shared" si="49"/>
        <v>45.302399999999999</v>
      </c>
      <c r="I42" s="55">
        <f t="shared" si="50"/>
        <v>0.2</v>
      </c>
      <c r="J42" s="60">
        <f t="shared" si="51"/>
        <v>45.302399999999999</v>
      </c>
      <c r="K42" s="55">
        <f t="shared" si="52"/>
        <v>0.2</v>
      </c>
      <c r="L42" s="60">
        <f t="shared" si="53"/>
        <v>45.302399999999999</v>
      </c>
      <c r="M42" s="55">
        <f t="shared" si="54"/>
        <v>0.2</v>
      </c>
      <c r="N42" s="60">
        <f t="shared" si="55"/>
        <v>45.302399999999999</v>
      </c>
      <c r="O42" s="104">
        <f t="shared" si="20"/>
        <v>0</v>
      </c>
      <c r="P42" s="103">
        <f t="shared" si="39"/>
        <v>226.512</v>
      </c>
      <c r="Q42" s="35">
        <f t="shared" si="40"/>
        <v>226.512</v>
      </c>
    </row>
    <row r="43" spans="1:17" ht="15.75" x14ac:dyDescent="0.25">
      <c r="A43" s="58"/>
      <c r="B43" s="124" t="s">
        <v>40</v>
      </c>
      <c r="C43" s="137">
        <v>7.75</v>
      </c>
      <c r="D43" s="129">
        <f>ЗП!D29/1000</f>
        <v>1755.4770000000001</v>
      </c>
      <c r="E43" s="57">
        <f>C43/1</f>
        <v>7.75</v>
      </c>
      <c r="F43" s="60">
        <f>D43/1</f>
        <v>1755.4770000000001</v>
      </c>
      <c r="G43" s="55">
        <v>0</v>
      </c>
      <c r="H43" s="60">
        <v>0</v>
      </c>
      <c r="I43" s="55">
        <v>0</v>
      </c>
      <c r="J43" s="60">
        <v>0</v>
      </c>
      <c r="K43" s="55">
        <v>0</v>
      </c>
      <c r="L43" s="60">
        <v>0</v>
      </c>
      <c r="M43" s="55">
        <v>0</v>
      </c>
      <c r="N43" s="60">
        <v>0</v>
      </c>
      <c r="O43" s="104">
        <f t="shared" si="20"/>
        <v>0</v>
      </c>
      <c r="P43" s="103">
        <f t="shared" si="39"/>
        <v>1755.4770000000001</v>
      </c>
      <c r="Q43" s="35">
        <f t="shared" si="40"/>
        <v>1755.4770000000001</v>
      </c>
    </row>
    <row r="44" spans="1:17" ht="51.75" customHeight="1" x14ac:dyDescent="0.25">
      <c r="A44" s="58"/>
      <c r="B44" s="117" t="s">
        <v>72</v>
      </c>
      <c r="C44" s="130" t="s">
        <v>66</v>
      </c>
      <c r="D44" s="111">
        <f>D25+D31</f>
        <v>8650.6546400000007</v>
      </c>
      <c r="E44" s="111" t="s">
        <v>66</v>
      </c>
      <c r="F44" s="111">
        <f>F25+F31</f>
        <v>4567.9033279999994</v>
      </c>
      <c r="G44" s="111" t="s">
        <v>66</v>
      </c>
      <c r="H44" s="111">
        <f>H25+H31</f>
        <v>1188.4482780000001</v>
      </c>
      <c r="I44" s="111" t="s">
        <v>66</v>
      </c>
      <c r="J44" s="111">
        <f>J25+J31</f>
        <v>852.92737799999986</v>
      </c>
      <c r="K44" s="111" t="s">
        <v>66</v>
      </c>
      <c r="L44" s="111">
        <f>L25+L31</f>
        <v>852.92737799999986</v>
      </c>
      <c r="M44" s="111" t="s">
        <v>66</v>
      </c>
      <c r="N44" s="112">
        <f>N25+N31</f>
        <v>1188.4482780000001</v>
      </c>
    </row>
    <row r="45" spans="1:17" ht="66" customHeight="1" x14ac:dyDescent="0.25">
      <c r="A45" s="58"/>
      <c r="B45" s="117" t="s">
        <v>73</v>
      </c>
      <c r="C45" s="130" t="s">
        <v>66</v>
      </c>
      <c r="D45" s="111">
        <f>D44*30.199736651%</f>
        <v>2612.4749198675122</v>
      </c>
      <c r="E45" s="111" t="s">
        <v>66</v>
      </c>
      <c r="F45" s="111">
        <f>F44*30.199736651%</f>
        <v>1379.4947755282644</v>
      </c>
      <c r="G45" s="111" t="s">
        <v>66</v>
      </c>
      <c r="H45" s="111">
        <f>H44*30.199736651%</f>
        <v>358.90825018934436</v>
      </c>
      <c r="I45" s="111" t="s">
        <v>66</v>
      </c>
      <c r="J45" s="111">
        <f>J44*30.199736651%</f>
        <v>257.58182198027924</v>
      </c>
      <c r="K45" s="111" t="s">
        <v>66</v>
      </c>
      <c r="L45" s="111">
        <f>L44*30.199736651%</f>
        <v>257.58182198027924</v>
      </c>
      <c r="M45" s="111" t="s">
        <v>66</v>
      </c>
      <c r="N45" s="111">
        <f>N44*30.199736651%</f>
        <v>358.90825018934436</v>
      </c>
    </row>
    <row r="46" spans="1:17" ht="32.25" customHeight="1" x14ac:dyDescent="0.25">
      <c r="A46" s="102"/>
      <c r="B46" s="131" t="s">
        <v>67</v>
      </c>
      <c r="C46" s="132" t="s">
        <v>66</v>
      </c>
      <c r="D46" s="133">
        <f>D44+D45</f>
        <v>11263.129559867513</v>
      </c>
      <c r="E46" s="133" t="s">
        <v>66</v>
      </c>
      <c r="F46" s="133">
        <f>F44+F45</f>
        <v>5947.3981035282641</v>
      </c>
      <c r="G46" s="133" t="s">
        <v>66</v>
      </c>
      <c r="H46" s="133">
        <f>H44+H45</f>
        <v>1547.3565281893443</v>
      </c>
      <c r="I46" s="133" t="s">
        <v>66</v>
      </c>
      <c r="J46" s="133">
        <f>J44+J45</f>
        <v>1110.5091999802792</v>
      </c>
      <c r="K46" s="133" t="s">
        <v>66</v>
      </c>
      <c r="L46" s="133">
        <f>L44+L45</f>
        <v>1110.5091999802792</v>
      </c>
      <c r="M46" s="133" t="s">
        <v>66</v>
      </c>
      <c r="N46" s="134">
        <f>N44+N45</f>
        <v>1547.3565281893443</v>
      </c>
    </row>
    <row r="47" spans="1:17" ht="24" customHeight="1" thickBot="1" x14ac:dyDescent="0.3">
      <c r="A47" s="61"/>
      <c r="B47" s="204" t="s">
        <v>169</v>
      </c>
      <c r="C47" s="205">
        <f>C11+C24</f>
        <v>42.25</v>
      </c>
      <c r="D47" s="135">
        <f>D44+D11</f>
        <v>11832.59936</v>
      </c>
      <c r="E47" s="139">
        <f>E11+E24</f>
        <v>21.75</v>
      </c>
      <c r="F47" s="135">
        <f>F44+F11</f>
        <v>5326.0813839999992</v>
      </c>
      <c r="G47" s="139">
        <f>G11+G24</f>
        <v>5.75</v>
      </c>
      <c r="H47" s="135">
        <f>H44+H11</f>
        <v>1794.389944</v>
      </c>
      <c r="I47" s="139">
        <f>I11+I24</f>
        <v>4.5</v>
      </c>
      <c r="J47" s="135">
        <f>J44+J11</f>
        <v>1458.869044</v>
      </c>
      <c r="K47" s="139">
        <f>K11+K24</f>
        <v>4.5</v>
      </c>
      <c r="L47" s="135">
        <f>L44+L11</f>
        <v>1458.869044</v>
      </c>
      <c r="M47" s="139">
        <f>M11+M24</f>
        <v>5.75</v>
      </c>
      <c r="N47" s="135">
        <f>N44+N11</f>
        <v>1794.389944</v>
      </c>
    </row>
    <row r="48" spans="1:17" ht="15.75" x14ac:dyDescent="0.25">
      <c r="A48" s="62"/>
      <c r="B48" s="62"/>
      <c r="C48" s="62"/>
      <c r="D48" s="140"/>
      <c r="E48" s="62"/>
      <c r="F48" s="140"/>
      <c r="G48" s="62"/>
      <c r="H48" s="140"/>
      <c r="J48" s="140"/>
      <c r="L48" s="140"/>
      <c r="N48" s="140"/>
    </row>
    <row r="49" spans="1:14" ht="15.75" x14ac:dyDescent="0.25">
      <c r="A49" s="62"/>
      <c r="B49" s="62"/>
      <c r="C49" s="62"/>
      <c r="D49" s="140"/>
      <c r="E49" s="62"/>
      <c r="F49" s="140"/>
      <c r="G49" s="62"/>
      <c r="H49" s="140"/>
      <c r="J49" s="140"/>
      <c r="L49" s="140"/>
      <c r="N49" s="140"/>
    </row>
    <row r="50" spans="1:14" ht="15.75" x14ac:dyDescent="0.25">
      <c r="A50" s="241" t="s">
        <v>201</v>
      </c>
      <c r="B50" s="242"/>
      <c r="C50" s="242"/>
      <c r="D50" s="242"/>
      <c r="E50" s="243"/>
      <c r="F50" s="243"/>
      <c r="G50" s="63"/>
      <c r="H50" s="244" t="s">
        <v>198</v>
      </c>
      <c r="I50" s="244"/>
      <c r="J50" s="244"/>
    </row>
    <row r="51" spans="1:14" ht="15.75" x14ac:dyDescent="0.25">
      <c r="A51" s="211"/>
      <c r="B51" s="211"/>
      <c r="C51" s="211"/>
      <c r="D51" s="211"/>
      <c r="E51" s="245" t="s">
        <v>196</v>
      </c>
      <c r="F51" s="245"/>
      <c r="G51" s="211"/>
      <c r="H51" s="245" t="s">
        <v>197</v>
      </c>
      <c r="I51" s="245"/>
      <c r="J51" s="245"/>
    </row>
    <row r="52" spans="1:14" s="249" customFormat="1" ht="15.75" x14ac:dyDescent="0.25">
      <c r="A52" s="249" t="s">
        <v>195</v>
      </c>
    </row>
    <row r="53" spans="1:14" ht="15.75" x14ac:dyDescent="0.25">
      <c r="A53" s="62"/>
      <c r="B53" s="62"/>
      <c r="C53" s="62"/>
      <c r="D53" s="63"/>
      <c r="E53" s="62" t="s">
        <v>186</v>
      </c>
      <c r="F53" s="62"/>
      <c r="G53" s="62"/>
      <c r="H53" s="62"/>
    </row>
    <row r="54" spans="1:14" x14ac:dyDescent="0.25">
      <c r="D54" s="56"/>
    </row>
  </sheetData>
  <mergeCells count="21">
    <mergeCell ref="E7:N7"/>
    <mergeCell ref="A52:XFD52"/>
    <mergeCell ref="L2:N2"/>
    <mergeCell ref="L3:N3"/>
    <mergeCell ref="K4:N4"/>
    <mergeCell ref="A7:A9"/>
    <mergeCell ref="B7:B9"/>
    <mergeCell ref="C7:C9"/>
    <mergeCell ref="D7:D9"/>
    <mergeCell ref="A6:N6"/>
    <mergeCell ref="A5:N5"/>
    <mergeCell ref="E8:F8"/>
    <mergeCell ref="G8:H8"/>
    <mergeCell ref="I8:J8"/>
    <mergeCell ref="K8:L8"/>
    <mergeCell ref="M8:N8"/>
    <mergeCell ref="A50:D50"/>
    <mergeCell ref="E50:F50"/>
    <mergeCell ref="H50:J50"/>
    <mergeCell ref="E51:F51"/>
    <mergeCell ref="H51:J51"/>
  </mergeCells>
  <pageMargins left="0" right="0" top="0.35433070866141736" bottom="0" header="0" footer="0"/>
  <pageSetup paperSize="9" scale="65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9"/>
  <sheetViews>
    <sheetView view="pageBreakPreview" topLeftCell="A56" zoomScaleNormal="100" zoomScaleSheetLayoutView="100" workbookViewId="0">
      <selection activeCell="B82" sqref="B82"/>
    </sheetView>
  </sheetViews>
  <sheetFormatPr defaultRowHeight="15" x14ac:dyDescent="0.25"/>
  <cols>
    <col min="1" max="1" width="51" customWidth="1"/>
    <col min="2" max="2" width="21.140625" customWidth="1"/>
    <col min="3" max="3" width="23.85546875" style="41" customWidth="1"/>
    <col min="4" max="4" width="47.42578125" customWidth="1"/>
    <col min="6" max="6" width="13.28515625" bestFit="1" customWidth="1"/>
    <col min="7" max="7" width="11.5703125" customWidth="1"/>
  </cols>
  <sheetData>
    <row r="1" spans="1:8" s="48" customFormat="1" ht="11.25" customHeight="1" x14ac:dyDescent="0.2">
      <c r="C1" s="69"/>
      <c r="D1" s="49" t="s">
        <v>74</v>
      </c>
    </row>
    <row r="2" spans="1:8" s="48" customFormat="1" ht="11.25" customHeight="1" x14ac:dyDescent="0.2">
      <c r="A2" s="49"/>
      <c r="B2" s="250" t="s">
        <v>52</v>
      </c>
      <c r="C2" s="250"/>
      <c r="D2" s="250"/>
    </row>
    <row r="3" spans="1:8" s="48" customFormat="1" ht="11.25" customHeight="1" x14ac:dyDescent="0.2">
      <c r="A3" s="49"/>
      <c r="B3" s="250" t="s">
        <v>53</v>
      </c>
      <c r="C3" s="250"/>
      <c r="D3" s="250"/>
    </row>
    <row r="4" spans="1:8" s="48" customFormat="1" ht="9" customHeight="1" x14ac:dyDescent="0.2">
      <c r="A4" s="250" t="s">
        <v>54</v>
      </c>
      <c r="B4" s="250"/>
      <c r="C4" s="250"/>
      <c r="D4" s="250"/>
    </row>
    <row r="5" spans="1:8" ht="24" customHeight="1" x14ac:dyDescent="0.25">
      <c r="A5" s="265" t="s">
        <v>75</v>
      </c>
      <c r="B5" s="265"/>
      <c r="C5" s="265"/>
      <c r="D5" s="265"/>
      <c r="E5" s="70"/>
      <c r="F5" s="70"/>
      <c r="G5" s="70"/>
      <c r="H5" s="70"/>
    </row>
    <row r="6" spans="1:8" ht="14.25" customHeight="1" thickBot="1" x14ac:dyDescent="0.3">
      <c r="A6" s="266" t="s">
        <v>185</v>
      </c>
      <c r="B6" s="266"/>
      <c r="C6" s="266"/>
      <c r="D6" s="266"/>
      <c r="E6" s="70"/>
      <c r="F6" s="70"/>
      <c r="G6" s="70"/>
      <c r="H6" s="70"/>
    </row>
    <row r="7" spans="1:8" s="75" customFormat="1" ht="22.5" customHeight="1" thickTop="1" x14ac:dyDescent="0.2">
      <c r="A7" s="71" t="s">
        <v>76</v>
      </c>
      <c r="B7" s="72" t="s">
        <v>2</v>
      </c>
      <c r="C7" s="73" t="s">
        <v>77</v>
      </c>
      <c r="D7" s="74" t="s">
        <v>78</v>
      </c>
    </row>
    <row r="8" spans="1:8" s="75" customFormat="1" ht="11.25" x14ac:dyDescent="0.2">
      <c r="A8" s="76">
        <v>1</v>
      </c>
      <c r="B8" s="50">
        <v>2</v>
      </c>
      <c r="C8" s="77">
        <v>3</v>
      </c>
      <c r="D8" s="78">
        <v>4</v>
      </c>
    </row>
    <row r="9" spans="1:8" x14ac:dyDescent="0.25">
      <c r="A9" s="267" t="s">
        <v>79</v>
      </c>
      <c r="B9" s="268"/>
      <c r="C9" s="268"/>
      <c r="D9" s="269"/>
      <c r="E9" s="70"/>
      <c r="F9" s="70"/>
      <c r="G9" s="70"/>
      <c r="H9" s="70"/>
    </row>
    <row r="10" spans="1:8" x14ac:dyDescent="0.25">
      <c r="A10" s="267" t="s">
        <v>80</v>
      </c>
      <c r="B10" s="268"/>
      <c r="C10" s="268"/>
      <c r="D10" s="269"/>
      <c r="E10" s="70"/>
      <c r="F10" s="70"/>
      <c r="G10" s="70"/>
      <c r="H10" s="70"/>
    </row>
    <row r="11" spans="1:8" x14ac:dyDescent="0.25">
      <c r="A11" s="267" t="s">
        <v>81</v>
      </c>
      <c r="B11" s="268"/>
      <c r="C11" s="268"/>
      <c r="D11" s="269"/>
      <c r="E11" s="70"/>
      <c r="F11" s="70"/>
      <c r="G11" s="70"/>
      <c r="H11" s="70"/>
    </row>
    <row r="12" spans="1:8" x14ac:dyDescent="0.25">
      <c r="A12" s="189" t="s">
        <v>82</v>
      </c>
      <c r="B12" s="190">
        <v>211</v>
      </c>
      <c r="C12" s="187">
        <f>ГОРЛЕС!K5/1000</f>
        <v>4505.6107700000002</v>
      </c>
      <c r="D12" s="191" t="s">
        <v>66</v>
      </c>
      <c r="E12" s="70"/>
      <c r="F12" s="81"/>
      <c r="G12" s="70"/>
      <c r="H12" s="70"/>
    </row>
    <row r="13" spans="1:8" x14ac:dyDescent="0.25">
      <c r="A13" s="189" t="s">
        <v>83</v>
      </c>
      <c r="B13" s="190">
        <v>213</v>
      </c>
      <c r="C13" s="187">
        <f>ГОРЛЕС!K7/1000</f>
        <v>1360.6944525400002</v>
      </c>
      <c r="D13" s="191" t="s">
        <v>66</v>
      </c>
      <c r="E13" s="70"/>
      <c r="F13" s="81"/>
      <c r="G13" s="70"/>
      <c r="H13" s="70"/>
    </row>
    <row r="14" spans="1:8" x14ac:dyDescent="0.25">
      <c r="A14" s="270" t="s">
        <v>84</v>
      </c>
      <c r="B14" s="271"/>
      <c r="C14" s="271"/>
      <c r="D14" s="272"/>
      <c r="E14" s="70"/>
      <c r="F14" s="70"/>
      <c r="G14" s="70"/>
      <c r="H14" s="70"/>
    </row>
    <row r="15" spans="1:8" x14ac:dyDescent="0.25">
      <c r="A15" s="189" t="s">
        <v>85</v>
      </c>
      <c r="B15" s="190">
        <v>340</v>
      </c>
      <c r="C15" s="187">
        <f>(ГОРЛЕС!K20+ГОРЛЕС!K21+ГОРЛЕС!K22)/1000</f>
        <v>745.4</v>
      </c>
      <c r="D15" s="191" t="s">
        <v>66</v>
      </c>
      <c r="E15" s="70"/>
      <c r="F15" s="70"/>
      <c r="G15" s="70"/>
      <c r="H15" s="70"/>
    </row>
    <row r="16" spans="1:8" x14ac:dyDescent="0.25">
      <c r="A16" s="270" t="s">
        <v>86</v>
      </c>
      <c r="B16" s="271"/>
      <c r="C16" s="271"/>
      <c r="D16" s="272"/>
      <c r="E16" s="70"/>
      <c r="F16" s="81"/>
      <c r="G16" s="70"/>
      <c r="H16" s="70"/>
    </row>
    <row r="17" spans="1:8" x14ac:dyDescent="0.25">
      <c r="A17" s="189" t="s">
        <v>87</v>
      </c>
      <c r="B17" s="190">
        <v>212</v>
      </c>
      <c r="C17" s="192">
        <v>0</v>
      </c>
      <c r="D17" s="191" t="s">
        <v>66</v>
      </c>
      <c r="E17" s="70"/>
      <c r="F17" s="70"/>
      <c r="G17" s="70"/>
      <c r="H17" s="70"/>
    </row>
    <row r="18" spans="1:8" x14ac:dyDescent="0.25">
      <c r="A18" s="189" t="s">
        <v>88</v>
      </c>
      <c r="B18" s="190">
        <v>222</v>
      </c>
      <c r="C18" s="192">
        <f>ГОРЛЕС!K9/1000</f>
        <v>0</v>
      </c>
      <c r="D18" s="191" t="s">
        <v>66</v>
      </c>
      <c r="E18" s="70"/>
      <c r="F18" s="81"/>
      <c r="G18" s="70"/>
      <c r="H18" s="70"/>
    </row>
    <row r="19" spans="1:8" x14ac:dyDescent="0.25">
      <c r="A19" s="189" t="s">
        <v>174</v>
      </c>
      <c r="B19" s="190">
        <v>225</v>
      </c>
      <c r="C19" s="192">
        <f>ГОРЛЕС!K14/1000</f>
        <v>0</v>
      </c>
      <c r="D19" s="191"/>
      <c r="E19" s="70"/>
      <c r="F19" s="81"/>
      <c r="G19" s="70"/>
      <c r="H19" s="70"/>
    </row>
    <row r="20" spans="1:8" x14ac:dyDescent="0.25">
      <c r="A20" s="189" t="s">
        <v>89</v>
      </c>
      <c r="B20" s="190">
        <v>226</v>
      </c>
      <c r="C20" s="187">
        <f>(ГОРЛЕС!K17+ГОРЛЕС!K19)/1000</f>
        <v>0</v>
      </c>
      <c r="D20" s="191"/>
      <c r="E20" s="70"/>
      <c r="F20" s="70"/>
      <c r="G20" s="70"/>
      <c r="H20" s="70"/>
    </row>
    <row r="21" spans="1:8" x14ac:dyDescent="0.25">
      <c r="A21" s="189" t="s">
        <v>90</v>
      </c>
      <c r="B21" s="190">
        <v>290</v>
      </c>
      <c r="C21" s="192">
        <v>0</v>
      </c>
      <c r="D21" s="191" t="s">
        <v>66</v>
      </c>
      <c r="E21" s="70"/>
      <c r="F21" s="70"/>
      <c r="G21" s="70"/>
      <c r="H21" s="70"/>
    </row>
    <row r="22" spans="1:8" x14ac:dyDescent="0.25">
      <c r="A22" s="273" t="s">
        <v>91</v>
      </c>
      <c r="B22" s="274"/>
      <c r="C22" s="274"/>
      <c r="D22" s="275"/>
      <c r="E22" s="70"/>
      <c r="F22" s="81"/>
      <c r="G22" s="70"/>
      <c r="H22" s="70"/>
    </row>
    <row r="23" spans="1:8" ht="13.5" customHeight="1" x14ac:dyDescent="0.25">
      <c r="A23" s="262" t="s">
        <v>92</v>
      </c>
      <c r="B23" s="263"/>
      <c r="C23" s="263"/>
      <c r="D23" s="264"/>
      <c r="E23" s="70"/>
      <c r="F23" s="70"/>
      <c r="G23" s="70"/>
      <c r="H23" s="70"/>
    </row>
    <row r="24" spans="1:8" x14ac:dyDescent="0.25">
      <c r="A24" s="189" t="s">
        <v>82</v>
      </c>
      <c r="B24" s="190">
        <v>211</v>
      </c>
      <c r="C24" s="187">
        <f>ГОРЛЕС!L5/1000</f>
        <v>7326.9892299999992</v>
      </c>
      <c r="D24" s="191" t="s">
        <v>66</v>
      </c>
      <c r="E24" s="70"/>
      <c r="F24" s="70"/>
      <c r="G24" s="70"/>
      <c r="H24" s="70"/>
    </row>
    <row r="25" spans="1:8" x14ac:dyDescent="0.25">
      <c r="A25" s="189" t="s">
        <v>83</v>
      </c>
      <c r="B25" s="190">
        <v>213</v>
      </c>
      <c r="C25" s="187">
        <f>ГОРЛЕС!L7/1000</f>
        <v>2212.7055474600002</v>
      </c>
      <c r="D25" s="191" t="s">
        <v>66</v>
      </c>
      <c r="E25" s="70"/>
      <c r="F25" s="70"/>
      <c r="G25" s="70"/>
      <c r="H25" s="70"/>
    </row>
    <row r="26" spans="1:8" x14ac:dyDescent="0.25">
      <c r="A26" s="270" t="s">
        <v>93</v>
      </c>
      <c r="B26" s="271"/>
      <c r="C26" s="271"/>
      <c r="D26" s="272"/>
      <c r="E26" s="70"/>
      <c r="F26" s="70"/>
      <c r="G26" s="70"/>
      <c r="H26" s="70"/>
    </row>
    <row r="27" spans="1:8" x14ac:dyDescent="0.25">
      <c r="A27" s="189" t="s">
        <v>94</v>
      </c>
      <c r="B27" s="190">
        <v>221</v>
      </c>
      <c r="C27" s="187">
        <f>ГОРЛЕС!L8/1000</f>
        <v>84.3</v>
      </c>
      <c r="D27" s="191" t="s">
        <v>66</v>
      </c>
      <c r="E27" s="70"/>
      <c r="F27" s="70"/>
      <c r="G27" s="70"/>
      <c r="H27" s="70"/>
    </row>
    <row r="28" spans="1:8" x14ac:dyDescent="0.25">
      <c r="A28" s="270" t="s">
        <v>95</v>
      </c>
      <c r="B28" s="271"/>
      <c r="C28" s="271"/>
      <c r="D28" s="272"/>
      <c r="E28" s="70"/>
      <c r="F28" s="70"/>
      <c r="G28" s="70"/>
      <c r="H28" s="70"/>
    </row>
    <row r="29" spans="1:8" x14ac:dyDescent="0.25">
      <c r="A29" s="189" t="s">
        <v>88</v>
      </c>
      <c r="B29" s="190">
        <v>222</v>
      </c>
      <c r="C29" s="187">
        <f>ГОРЛЕС!L9/1000</f>
        <v>176.4</v>
      </c>
      <c r="D29" s="191" t="s">
        <v>66</v>
      </c>
      <c r="E29" s="70"/>
      <c r="F29" s="70"/>
      <c r="G29" s="70"/>
      <c r="H29" s="70"/>
    </row>
    <row r="30" spans="1:8" x14ac:dyDescent="0.25">
      <c r="A30" s="270" t="s">
        <v>96</v>
      </c>
      <c r="B30" s="271"/>
      <c r="C30" s="271"/>
      <c r="D30" s="272"/>
      <c r="E30" s="70"/>
      <c r="F30" s="70"/>
      <c r="G30" s="70"/>
      <c r="H30" s="70"/>
    </row>
    <row r="31" spans="1:8" x14ac:dyDescent="0.25">
      <c r="A31" s="189" t="s">
        <v>97</v>
      </c>
      <c r="B31" s="190">
        <v>223</v>
      </c>
      <c r="C31" s="187">
        <f>F33/1000</f>
        <v>0</v>
      </c>
      <c r="D31" s="191" t="s">
        <v>66</v>
      </c>
      <c r="E31" s="70"/>
      <c r="F31" s="70"/>
      <c r="G31" s="70"/>
      <c r="H31" s="70"/>
    </row>
    <row r="32" spans="1:8" x14ac:dyDescent="0.25">
      <c r="A32" s="189" t="s">
        <v>98</v>
      </c>
      <c r="B32" s="190">
        <v>223</v>
      </c>
      <c r="C32" s="187">
        <f>F33/1000</f>
        <v>0</v>
      </c>
      <c r="D32" s="191" t="s">
        <v>66</v>
      </c>
      <c r="E32" s="70"/>
      <c r="F32" s="70"/>
      <c r="G32" s="70"/>
      <c r="H32" s="70"/>
    </row>
    <row r="33" spans="1:8" ht="13.5" customHeight="1" x14ac:dyDescent="0.25">
      <c r="A33" s="189" t="s">
        <v>99</v>
      </c>
      <c r="B33" s="190">
        <v>223</v>
      </c>
      <c r="C33" s="187">
        <f>F32/1000</f>
        <v>0</v>
      </c>
      <c r="D33" s="191" t="s">
        <v>66</v>
      </c>
      <c r="E33" s="70"/>
      <c r="F33" s="70"/>
      <c r="G33" s="70"/>
      <c r="H33" s="70"/>
    </row>
    <row r="34" spans="1:8" ht="15.75" customHeight="1" x14ac:dyDescent="0.25">
      <c r="A34" s="189" t="s">
        <v>100</v>
      </c>
      <c r="B34" s="190">
        <v>223</v>
      </c>
      <c r="C34" s="187">
        <f>ГОРЛЕС!L10/1000</f>
        <v>577.85</v>
      </c>
      <c r="D34" s="191" t="s">
        <v>66</v>
      </c>
      <c r="E34" s="70"/>
      <c r="F34" s="70"/>
      <c r="G34" s="70"/>
      <c r="H34" s="70"/>
    </row>
    <row r="35" spans="1:8" ht="18" customHeight="1" x14ac:dyDescent="0.25">
      <c r="A35" s="189" t="s">
        <v>101</v>
      </c>
      <c r="B35" s="190">
        <v>223</v>
      </c>
      <c r="C35" s="187">
        <f>ГОРЛЕС!L11/1000</f>
        <v>812.34</v>
      </c>
      <c r="D35" s="191" t="s">
        <v>66</v>
      </c>
      <c r="E35" s="70"/>
      <c r="F35" s="81"/>
      <c r="G35" s="81"/>
      <c r="H35" s="70"/>
    </row>
    <row r="36" spans="1:8" x14ac:dyDescent="0.25">
      <c r="A36" s="270" t="s">
        <v>102</v>
      </c>
      <c r="B36" s="271"/>
      <c r="C36" s="271"/>
      <c r="D36" s="272"/>
      <c r="E36" s="70"/>
      <c r="F36" s="70"/>
      <c r="G36" s="70"/>
      <c r="H36" s="70"/>
    </row>
    <row r="37" spans="1:8" ht="25.5" x14ac:dyDescent="0.25">
      <c r="A37" s="151" t="s">
        <v>103</v>
      </c>
      <c r="B37" s="152">
        <v>225</v>
      </c>
      <c r="C37" s="80">
        <v>136.6</v>
      </c>
      <c r="D37" s="153" t="s">
        <v>66</v>
      </c>
      <c r="E37" s="70"/>
      <c r="F37" s="70"/>
      <c r="G37" s="70"/>
      <c r="H37" s="70"/>
    </row>
    <row r="38" spans="1:8" ht="12" customHeight="1" x14ac:dyDescent="0.25">
      <c r="A38" s="151" t="s">
        <v>104</v>
      </c>
      <c r="B38" s="152">
        <v>225</v>
      </c>
      <c r="C38" s="80">
        <v>0</v>
      </c>
      <c r="D38" s="153" t="s">
        <v>66</v>
      </c>
      <c r="E38" s="70"/>
      <c r="F38" s="70"/>
      <c r="G38" s="70"/>
      <c r="H38" s="70"/>
    </row>
    <row r="39" spans="1:8" x14ac:dyDescent="0.25">
      <c r="A39" s="151" t="s">
        <v>105</v>
      </c>
      <c r="B39" s="152">
        <v>224</v>
      </c>
      <c r="C39" s="80">
        <v>0</v>
      </c>
      <c r="D39" s="153" t="s">
        <v>66</v>
      </c>
      <c r="E39" s="70"/>
      <c r="F39" s="70"/>
      <c r="G39" s="70"/>
      <c r="H39" s="70"/>
    </row>
    <row r="40" spans="1:8" ht="27.75" customHeight="1" x14ac:dyDescent="0.25">
      <c r="A40" s="151" t="s">
        <v>106</v>
      </c>
      <c r="B40" s="152">
        <v>225</v>
      </c>
      <c r="C40" s="187">
        <f>ГОРЛЕС!J13/1000</f>
        <v>462.5</v>
      </c>
      <c r="D40" s="153" t="s">
        <v>66</v>
      </c>
      <c r="E40" s="70"/>
      <c r="F40" s="81"/>
      <c r="G40" s="70"/>
      <c r="H40" s="70"/>
    </row>
    <row r="41" spans="1:8" ht="25.5" customHeight="1" x14ac:dyDescent="0.25">
      <c r="A41" s="151" t="s">
        <v>107</v>
      </c>
      <c r="B41" s="152">
        <v>225</v>
      </c>
      <c r="C41" s="80">
        <v>502.9</v>
      </c>
      <c r="D41" s="153" t="s">
        <v>66</v>
      </c>
      <c r="E41" s="70"/>
      <c r="F41" s="83"/>
      <c r="G41" s="70"/>
      <c r="H41" s="70"/>
    </row>
    <row r="42" spans="1:8" x14ac:dyDescent="0.25">
      <c r="A42" s="273" t="s">
        <v>108</v>
      </c>
      <c r="B42" s="274"/>
      <c r="C42" s="274"/>
      <c r="D42" s="275"/>
      <c r="E42" s="70"/>
      <c r="F42" s="70"/>
      <c r="G42" s="70"/>
      <c r="H42" s="70"/>
    </row>
    <row r="43" spans="1:8" ht="15.75" customHeight="1" x14ac:dyDescent="0.25">
      <c r="A43" s="151" t="s">
        <v>109</v>
      </c>
      <c r="B43" s="152">
        <v>225</v>
      </c>
      <c r="C43" s="82">
        <v>16.3</v>
      </c>
      <c r="D43" s="153" t="s">
        <v>66</v>
      </c>
      <c r="E43" s="70"/>
      <c r="F43" s="70"/>
      <c r="G43" s="70"/>
      <c r="H43" s="70"/>
    </row>
    <row r="44" spans="1:8" ht="25.5" x14ac:dyDescent="0.25">
      <c r="A44" s="151" t="s">
        <v>110</v>
      </c>
      <c r="B44" s="152">
        <v>340</v>
      </c>
      <c r="C44" s="82">
        <v>40</v>
      </c>
      <c r="D44" s="153" t="s">
        <v>66</v>
      </c>
      <c r="E44" s="70"/>
      <c r="F44" s="81"/>
      <c r="G44" s="70"/>
      <c r="H44" s="70"/>
    </row>
    <row r="45" spans="1:8" x14ac:dyDescent="0.25">
      <c r="A45" s="151" t="s">
        <v>111</v>
      </c>
      <c r="B45" s="152">
        <v>226</v>
      </c>
      <c r="C45" s="82">
        <f>ГОРЛЕС!L17/1000</f>
        <v>50.5</v>
      </c>
      <c r="D45" s="153" t="s">
        <v>66</v>
      </c>
      <c r="E45" s="70"/>
      <c r="F45" s="70"/>
      <c r="G45" s="70"/>
      <c r="H45" s="70"/>
    </row>
    <row r="46" spans="1:8" x14ac:dyDescent="0.25">
      <c r="A46" s="151" t="s">
        <v>112</v>
      </c>
      <c r="B46" s="152">
        <v>225</v>
      </c>
      <c r="C46" s="82"/>
      <c r="D46" s="153" t="s">
        <v>66</v>
      </c>
      <c r="E46" s="70"/>
      <c r="F46" s="70"/>
      <c r="G46" s="70"/>
      <c r="H46" s="70"/>
    </row>
    <row r="47" spans="1:8" x14ac:dyDescent="0.25">
      <c r="A47" s="273" t="s">
        <v>113</v>
      </c>
      <c r="B47" s="274"/>
      <c r="C47" s="274"/>
      <c r="D47" s="275"/>
      <c r="E47" s="70"/>
      <c r="F47" s="70"/>
      <c r="G47" s="70"/>
      <c r="H47" s="70"/>
    </row>
    <row r="48" spans="1:8" x14ac:dyDescent="0.25">
      <c r="A48" s="151" t="s">
        <v>87</v>
      </c>
      <c r="B48" s="152">
        <v>212</v>
      </c>
      <c r="C48" s="82">
        <f>ГОРЛЕС!L6/1000</f>
        <v>475</v>
      </c>
      <c r="D48" s="153" t="s">
        <v>66</v>
      </c>
      <c r="E48" s="70"/>
      <c r="F48" s="70"/>
      <c r="G48" s="70"/>
      <c r="H48" s="70"/>
    </row>
    <row r="49" spans="1:8" x14ac:dyDescent="0.25">
      <c r="A49" s="151" t="s">
        <v>114</v>
      </c>
      <c r="B49" s="152">
        <v>224</v>
      </c>
      <c r="C49" s="82">
        <v>0</v>
      </c>
      <c r="D49" s="153" t="s">
        <v>66</v>
      </c>
      <c r="E49" s="70"/>
      <c r="F49" s="70"/>
      <c r="G49" s="70"/>
      <c r="H49" s="70"/>
    </row>
    <row r="50" spans="1:8" x14ac:dyDescent="0.25">
      <c r="A50" s="151" t="s">
        <v>89</v>
      </c>
      <c r="B50" s="152">
        <v>226</v>
      </c>
      <c r="C50" s="82">
        <f>(ГОРЛЕС!L18+ГОРЛЕС!L19+ГОРЛЕС!L16+ГОРЛЕС!L15)/1000</f>
        <v>1654.9</v>
      </c>
      <c r="D50" s="153" t="s">
        <v>66</v>
      </c>
      <c r="E50" s="70"/>
      <c r="F50" s="70"/>
      <c r="G50" s="70"/>
      <c r="H50" s="70"/>
    </row>
    <row r="51" spans="1:8" x14ac:dyDescent="0.25">
      <c r="A51" s="151" t="s">
        <v>90</v>
      </c>
      <c r="B51" s="152">
        <v>290</v>
      </c>
      <c r="C51" s="82">
        <v>0</v>
      </c>
      <c r="D51" s="153" t="s">
        <v>66</v>
      </c>
      <c r="E51" s="70"/>
      <c r="F51" s="70"/>
      <c r="G51" s="70"/>
      <c r="H51" s="70"/>
    </row>
    <row r="52" spans="1:8" x14ac:dyDescent="0.25">
      <c r="A52" s="151" t="s">
        <v>85</v>
      </c>
      <c r="B52" s="152">
        <v>340</v>
      </c>
      <c r="C52" s="82">
        <v>40</v>
      </c>
      <c r="D52" s="153" t="s">
        <v>66</v>
      </c>
      <c r="E52" s="70"/>
      <c r="F52" s="70"/>
      <c r="G52" s="70"/>
      <c r="H52" s="70"/>
    </row>
    <row r="53" spans="1:8" x14ac:dyDescent="0.25">
      <c r="A53" s="273" t="s">
        <v>115</v>
      </c>
      <c r="B53" s="274"/>
      <c r="C53" s="274"/>
      <c r="D53" s="275"/>
      <c r="E53" s="70"/>
      <c r="F53" s="70"/>
      <c r="G53" s="70"/>
      <c r="H53" s="70"/>
    </row>
    <row r="54" spans="1:8" ht="13.5" customHeight="1" x14ac:dyDescent="0.25">
      <c r="A54" s="151" t="s">
        <v>82</v>
      </c>
      <c r="B54" s="152">
        <v>211</v>
      </c>
      <c r="C54" s="80">
        <f>C24</f>
        <v>7326.9892299999992</v>
      </c>
      <c r="D54" s="153">
        <f>ROUND(C54*100/($C$12+$C$13),1)</f>
        <v>124.9</v>
      </c>
      <c r="E54" s="70"/>
      <c r="F54" s="70"/>
      <c r="G54" s="70"/>
      <c r="H54" s="70"/>
    </row>
    <row r="55" spans="1:8" x14ac:dyDescent="0.25">
      <c r="A55" s="151" t="s">
        <v>116</v>
      </c>
      <c r="B55" s="152">
        <v>213</v>
      </c>
      <c r="C55" s="80">
        <f>C25</f>
        <v>2212.7055474600002</v>
      </c>
      <c r="D55" s="153">
        <f t="shared" ref="D55:D65" si="0">ROUND(C55*100/($C$12+$C$13),1)</f>
        <v>37.700000000000003</v>
      </c>
      <c r="E55" s="70"/>
      <c r="F55" s="70"/>
      <c r="G55" s="70"/>
      <c r="H55" s="70"/>
    </row>
    <row r="56" spans="1:8" x14ac:dyDescent="0.25">
      <c r="A56" s="151" t="s">
        <v>87</v>
      </c>
      <c r="B56" s="152">
        <v>212</v>
      </c>
      <c r="C56" s="80">
        <f>C48</f>
        <v>475</v>
      </c>
      <c r="D56" s="153">
        <f t="shared" si="0"/>
        <v>8.1</v>
      </c>
      <c r="E56" s="70"/>
      <c r="F56" s="70"/>
      <c r="G56" s="70"/>
      <c r="H56" s="70"/>
    </row>
    <row r="57" spans="1:8" ht="12" customHeight="1" x14ac:dyDescent="0.25">
      <c r="A57" s="151" t="s">
        <v>94</v>
      </c>
      <c r="B57" s="152">
        <v>221</v>
      </c>
      <c r="C57" s="80">
        <f>C27</f>
        <v>84.3</v>
      </c>
      <c r="D57" s="153">
        <f t="shared" si="0"/>
        <v>1.4</v>
      </c>
      <c r="E57" s="70"/>
      <c r="F57" s="70"/>
      <c r="G57" s="70"/>
      <c r="H57" s="70"/>
    </row>
    <row r="58" spans="1:8" ht="12.75" customHeight="1" x14ac:dyDescent="0.25">
      <c r="A58" s="151" t="s">
        <v>88</v>
      </c>
      <c r="B58" s="152">
        <v>222</v>
      </c>
      <c r="C58" s="80">
        <f>C29</f>
        <v>176.4</v>
      </c>
      <c r="D58" s="153">
        <f t="shared" si="0"/>
        <v>3</v>
      </c>
      <c r="E58" s="70"/>
      <c r="F58" s="70"/>
      <c r="G58" s="70"/>
      <c r="H58" s="70"/>
    </row>
    <row r="59" spans="1:8" x14ac:dyDescent="0.25">
      <c r="A59" s="151" t="s">
        <v>117</v>
      </c>
      <c r="B59" s="152">
        <v>223</v>
      </c>
      <c r="C59" s="80">
        <v>1421.4</v>
      </c>
      <c r="D59" s="153">
        <f t="shared" si="0"/>
        <v>24.2</v>
      </c>
      <c r="E59" s="70"/>
      <c r="F59" s="70"/>
      <c r="G59" s="70"/>
      <c r="H59" s="70"/>
    </row>
    <row r="60" spans="1:8" x14ac:dyDescent="0.25">
      <c r="A60" s="151" t="s">
        <v>118</v>
      </c>
      <c r="B60" s="152">
        <v>224</v>
      </c>
      <c r="C60" s="80">
        <f>C39</f>
        <v>0</v>
      </c>
      <c r="D60" s="153">
        <f t="shared" si="0"/>
        <v>0</v>
      </c>
      <c r="E60" s="70"/>
      <c r="F60" s="70"/>
      <c r="G60" s="70"/>
      <c r="H60" s="70"/>
    </row>
    <row r="61" spans="1:8" x14ac:dyDescent="0.25">
      <c r="A61" s="151" t="s">
        <v>119</v>
      </c>
      <c r="B61" s="152">
        <v>225</v>
      </c>
      <c r="C61" s="80">
        <f>C37+C38+C40+C41</f>
        <v>1102</v>
      </c>
      <c r="D61" s="153">
        <f t="shared" si="0"/>
        <v>18.8</v>
      </c>
      <c r="E61" s="70"/>
      <c r="F61" s="70"/>
      <c r="G61" s="70"/>
      <c r="H61" s="70"/>
    </row>
    <row r="62" spans="1:8" x14ac:dyDescent="0.25">
      <c r="A62" s="151" t="s">
        <v>89</v>
      </c>
      <c r="B62" s="152">
        <v>226</v>
      </c>
      <c r="C62" s="80">
        <f>C45+C50</f>
        <v>1705.4</v>
      </c>
      <c r="D62" s="153">
        <f t="shared" si="0"/>
        <v>29.1</v>
      </c>
      <c r="E62" s="70"/>
      <c r="F62" s="70"/>
      <c r="G62" s="70"/>
      <c r="H62" s="70"/>
    </row>
    <row r="63" spans="1:8" x14ac:dyDescent="0.25">
      <c r="A63" s="151" t="s">
        <v>90</v>
      </c>
      <c r="B63" s="152">
        <v>290</v>
      </c>
      <c r="C63" s="80">
        <f>C51</f>
        <v>0</v>
      </c>
      <c r="D63" s="153">
        <f t="shared" si="0"/>
        <v>0</v>
      </c>
      <c r="E63" s="70"/>
      <c r="F63" s="70"/>
      <c r="G63" s="70"/>
      <c r="H63" s="70"/>
    </row>
    <row r="64" spans="1:8" x14ac:dyDescent="0.25">
      <c r="A64" s="151" t="s">
        <v>120</v>
      </c>
      <c r="B64" s="152">
        <v>340</v>
      </c>
      <c r="C64" s="80">
        <f>C52</f>
        <v>40</v>
      </c>
      <c r="D64" s="153">
        <f t="shared" si="0"/>
        <v>0.7</v>
      </c>
      <c r="E64" s="70"/>
      <c r="F64" s="70"/>
      <c r="G64" s="70"/>
      <c r="H64" s="70"/>
    </row>
    <row r="65" spans="1:8" x14ac:dyDescent="0.25">
      <c r="A65" s="151" t="s">
        <v>121</v>
      </c>
      <c r="B65" s="152"/>
      <c r="C65" s="80">
        <v>0</v>
      </c>
      <c r="D65" s="154">
        <f t="shared" si="0"/>
        <v>0</v>
      </c>
      <c r="E65" s="70"/>
      <c r="F65" s="70"/>
      <c r="G65" s="70"/>
      <c r="H65" s="70"/>
    </row>
    <row r="66" spans="1:8" x14ac:dyDescent="0.25">
      <c r="A66" s="155" t="s">
        <v>122</v>
      </c>
      <c r="B66" s="152"/>
      <c r="C66" s="156">
        <f>C12+C13+C15+C17+C18+C20+C21+SUM(C54:C64)</f>
        <v>21155.899999999998</v>
      </c>
      <c r="D66" s="153">
        <f>SUM(D54:D65)</f>
        <v>247.9</v>
      </c>
      <c r="E66" s="70"/>
      <c r="F66" s="83"/>
      <c r="G66" s="70"/>
      <c r="H66" s="70"/>
    </row>
    <row r="67" spans="1:8" x14ac:dyDescent="0.25">
      <c r="A67" s="273" t="s">
        <v>123</v>
      </c>
      <c r="B67" s="274"/>
      <c r="C67" s="274"/>
      <c r="D67" s="275"/>
      <c r="E67" s="70"/>
      <c r="F67" s="70"/>
      <c r="G67" s="70"/>
      <c r="H67" s="70"/>
    </row>
    <row r="68" spans="1:8" ht="14.25" customHeight="1" x14ac:dyDescent="0.25">
      <c r="A68" s="151" t="s">
        <v>100</v>
      </c>
      <c r="B68" s="152">
        <v>223</v>
      </c>
      <c r="C68" s="187">
        <f>ГОРЛЕС!M10/1000</f>
        <v>577.85</v>
      </c>
      <c r="D68" s="153" t="s">
        <v>66</v>
      </c>
      <c r="E68" s="70"/>
      <c r="F68" s="70"/>
      <c r="G68" s="70"/>
      <c r="H68" s="70"/>
    </row>
    <row r="69" spans="1:8" ht="16.5" customHeight="1" x14ac:dyDescent="0.25">
      <c r="A69" s="151" t="s">
        <v>124</v>
      </c>
      <c r="B69" s="152">
        <v>223</v>
      </c>
      <c r="C69" s="187">
        <f>ГОРЛЕС!M11/1000</f>
        <v>90.26</v>
      </c>
      <c r="D69" s="153" t="s">
        <v>66</v>
      </c>
      <c r="E69" s="70"/>
      <c r="F69" s="70"/>
      <c r="G69" s="70"/>
      <c r="H69" s="70"/>
    </row>
    <row r="70" spans="1:8" x14ac:dyDescent="0.25">
      <c r="A70" s="151" t="s">
        <v>125</v>
      </c>
      <c r="B70" s="152">
        <v>290</v>
      </c>
      <c r="C70" s="187">
        <f>ГОРЛЕС!M23/1000</f>
        <v>1176</v>
      </c>
      <c r="D70" s="153" t="s">
        <v>66</v>
      </c>
      <c r="E70" s="70"/>
      <c r="F70" s="70"/>
      <c r="G70" s="70"/>
      <c r="H70" s="70"/>
    </row>
    <row r="71" spans="1:8" x14ac:dyDescent="0.25">
      <c r="A71" s="155" t="s">
        <v>126</v>
      </c>
      <c r="B71" s="152"/>
      <c r="C71" s="188">
        <f>SUM(C68:C70)</f>
        <v>1844.1100000000001</v>
      </c>
      <c r="D71" s="153" t="s">
        <v>66</v>
      </c>
      <c r="E71" s="70"/>
      <c r="F71" s="70"/>
      <c r="G71" s="70"/>
      <c r="H71" s="70"/>
    </row>
    <row r="72" spans="1:8" ht="15.75" customHeight="1" x14ac:dyDescent="0.25">
      <c r="A72" s="273" t="s">
        <v>127</v>
      </c>
      <c r="B72" s="274"/>
      <c r="C72" s="274"/>
      <c r="D72" s="275"/>
      <c r="E72" s="70"/>
      <c r="F72" s="70"/>
      <c r="G72" s="70"/>
      <c r="H72" s="70"/>
    </row>
    <row r="73" spans="1:8" x14ac:dyDescent="0.25">
      <c r="A73" s="151" t="s">
        <v>82</v>
      </c>
      <c r="B73" s="152">
        <v>211</v>
      </c>
      <c r="C73" s="187">
        <f>C54+C12</f>
        <v>11832.599999999999</v>
      </c>
      <c r="D73" s="153" t="s">
        <v>66</v>
      </c>
      <c r="E73" s="81"/>
      <c r="F73" s="81"/>
      <c r="G73" s="81"/>
      <c r="H73" s="81"/>
    </row>
    <row r="74" spans="1:8" x14ac:dyDescent="0.25">
      <c r="A74" s="151" t="s">
        <v>116</v>
      </c>
      <c r="B74" s="152">
        <v>213</v>
      </c>
      <c r="C74" s="187">
        <f>C55+C13</f>
        <v>3573.4000000000005</v>
      </c>
      <c r="D74" s="153" t="s">
        <v>66</v>
      </c>
      <c r="E74" s="81"/>
      <c r="F74" s="81"/>
      <c r="G74" s="81"/>
      <c r="H74" s="81"/>
    </row>
    <row r="75" spans="1:8" x14ac:dyDescent="0.25">
      <c r="A75" s="151" t="s">
        <v>87</v>
      </c>
      <c r="B75" s="152">
        <v>212</v>
      </c>
      <c r="C75" s="187">
        <f>C56+C17</f>
        <v>475</v>
      </c>
      <c r="D75" s="153" t="s">
        <v>66</v>
      </c>
      <c r="E75" s="81"/>
      <c r="F75" s="81"/>
      <c r="G75" s="81"/>
      <c r="H75" s="81"/>
    </row>
    <row r="76" spans="1:8" ht="11.25" customHeight="1" x14ac:dyDescent="0.25">
      <c r="A76" s="151" t="s">
        <v>94</v>
      </c>
      <c r="B76" s="152">
        <v>221</v>
      </c>
      <c r="C76" s="187">
        <f>C57</f>
        <v>84.3</v>
      </c>
      <c r="D76" s="153" t="s">
        <v>66</v>
      </c>
      <c r="E76" s="81"/>
      <c r="F76" s="81"/>
      <c r="G76" s="81"/>
      <c r="H76" s="81"/>
    </row>
    <row r="77" spans="1:8" x14ac:dyDescent="0.25">
      <c r="A77" s="151" t="s">
        <v>88</v>
      </c>
      <c r="B77" s="152">
        <v>222</v>
      </c>
      <c r="C77" s="187">
        <f>C58+C18</f>
        <v>176.4</v>
      </c>
      <c r="D77" s="153" t="s">
        <v>66</v>
      </c>
      <c r="E77" s="81"/>
      <c r="F77" s="81"/>
      <c r="G77" s="81"/>
      <c r="H77" s="81"/>
    </row>
    <row r="78" spans="1:8" x14ac:dyDescent="0.25">
      <c r="A78" s="151" t="s">
        <v>117</v>
      </c>
      <c r="B78" s="152">
        <v>223</v>
      </c>
      <c r="C78" s="187">
        <f>C59+C68+C69</f>
        <v>2089.5100000000002</v>
      </c>
      <c r="D78" s="153" t="s">
        <v>66</v>
      </c>
      <c r="E78" s="81"/>
      <c r="F78" s="81"/>
      <c r="G78" s="81"/>
      <c r="H78" s="81"/>
    </row>
    <row r="79" spans="1:8" ht="9.75" customHeight="1" x14ac:dyDescent="0.25">
      <c r="A79" s="151" t="s">
        <v>118</v>
      </c>
      <c r="B79" s="152">
        <v>224</v>
      </c>
      <c r="C79" s="187">
        <f>C60</f>
        <v>0</v>
      </c>
      <c r="D79" s="153" t="s">
        <v>66</v>
      </c>
      <c r="E79" s="81"/>
      <c r="F79" s="81"/>
      <c r="G79" s="81"/>
      <c r="H79" s="81"/>
    </row>
    <row r="80" spans="1:8" ht="12.75" customHeight="1" x14ac:dyDescent="0.25">
      <c r="A80" s="151" t="s">
        <v>119</v>
      </c>
      <c r="B80" s="152">
        <v>225</v>
      </c>
      <c r="C80" s="187">
        <f>C37+C38+C40+C41</f>
        <v>1102</v>
      </c>
      <c r="D80" s="153" t="s">
        <v>66</v>
      </c>
      <c r="E80" s="81"/>
      <c r="F80" s="81"/>
      <c r="G80" s="81"/>
      <c r="H80" s="81"/>
    </row>
    <row r="81" spans="1:8" ht="13.5" customHeight="1" x14ac:dyDescent="0.25">
      <c r="A81" s="151" t="s">
        <v>89</v>
      </c>
      <c r="B81" s="152">
        <v>226</v>
      </c>
      <c r="C81" s="187">
        <f>C62</f>
        <v>1705.4</v>
      </c>
      <c r="D81" s="153" t="s">
        <v>66</v>
      </c>
      <c r="E81" s="81"/>
      <c r="F81" s="81"/>
      <c r="G81" s="81"/>
      <c r="H81" s="81"/>
    </row>
    <row r="82" spans="1:8" x14ac:dyDescent="0.25">
      <c r="A82" s="151" t="s">
        <v>90</v>
      </c>
      <c r="B82" s="152">
        <v>290</v>
      </c>
      <c r="C82" s="187">
        <f>C70+C63+C21</f>
        <v>1176</v>
      </c>
      <c r="D82" s="153" t="s">
        <v>66</v>
      </c>
      <c r="E82" s="81"/>
      <c r="F82" s="81"/>
      <c r="G82" s="81"/>
      <c r="H82" s="81"/>
    </row>
    <row r="83" spans="1:8" x14ac:dyDescent="0.25">
      <c r="A83" s="151" t="s">
        <v>120</v>
      </c>
      <c r="B83" s="152">
        <v>340</v>
      </c>
      <c r="C83" s="187">
        <f>C44+C15</f>
        <v>785.4</v>
      </c>
      <c r="D83" s="153" t="s">
        <v>66</v>
      </c>
      <c r="E83" s="81"/>
      <c r="F83" s="81"/>
      <c r="G83" s="81"/>
      <c r="H83" s="81"/>
    </row>
    <row r="84" spans="1:8" ht="12.75" customHeight="1" thickBot="1" x14ac:dyDescent="0.3">
      <c r="A84" s="84" t="s">
        <v>128</v>
      </c>
      <c r="B84" s="85"/>
      <c r="C84" s="185">
        <f>SUM(C73:C83)-0.01</f>
        <v>23000.000000000004</v>
      </c>
      <c r="D84" s="86"/>
      <c r="E84" s="81"/>
      <c r="F84" s="81"/>
      <c r="G84" s="42"/>
      <c r="H84" s="81"/>
    </row>
    <row r="85" spans="1:8" ht="12.75" customHeight="1" thickTop="1" x14ac:dyDescent="0.25">
      <c r="A85" s="212"/>
      <c r="B85" s="213"/>
      <c r="C85" s="214"/>
      <c r="D85" s="213"/>
      <c r="E85" s="81"/>
      <c r="F85" s="81"/>
      <c r="G85" s="42"/>
      <c r="H85" s="81"/>
    </row>
    <row r="86" spans="1:8" ht="12.75" customHeight="1" x14ac:dyDescent="0.25">
      <c r="A86" s="212"/>
      <c r="B86" s="213"/>
      <c r="C86" s="214"/>
      <c r="D86" s="213"/>
      <c r="E86" s="81"/>
      <c r="F86" s="81"/>
      <c r="G86" s="42"/>
      <c r="H86" s="81"/>
    </row>
    <row r="87" spans="1:8" ht="12.75" customHeight="1" x14ac:dyDescent="0.25">
      <c r="A87" s="216" t="s">
        <v>202</v>
      </c>
      <c r="B87" s="217"/>
      <c r="C87" s="215"/>
      <c r="D87" s="218" t="s">
        <v>198</v>
      </c>
      <c r="E87" s="81"/>
      <c r="F87" s="81"/>
      <c r="G87" s="42"/>
      <c r="H87" s="81"/>
    </row>
    <row r="88" spans="1:8" x14ac:dyDescent="0.25">
      <c r="A88" s="210"/>
      <c r="B88" s="208" t="s">
        <v>196</v>
      </c>
      <c r="C88" s="215"/>
      <c r="D88" s="208" t="s">
        <v>197</v>
      </c>
    </row>
    <row r="89" spans="1:8" x14ac:dyDescent="0.25">
      <c r="A89" s="64" t="s">
        <v>195</v>
      </c>
      <c r="B89" s="64"/>
      <c r="C89" s="215"/>
      <c r="E89" s="56"/>
    </row>
  </sheetData>
  <mergeCells count="21">
    <mergeCell ref="A53:D53"/>
    <mergeCell ref="A67:D67"/>
    <mergeCell ref="A72:D72"/>
    <mergeCell ref="A47:D47"/>
    <mergeCell ref="A26:D26"/>
    <mergeCell ref="A28:D28"/>
    <mergeCell ref="A30:D30"/>
    <mergeCell ref="A36:D36"/>
    <mergeCell ref="A42:D42"/>
    <mergeCell ref="A23:D23"/>
    <mergeCell ref="B2:D2"/>
    <mergeCell ref="B3:D3"/>
    <mergeCell ref="A4:D4"/>
    <mergeCell ref="A5:D5"/>
    <mergeCell ref="A6:D6"/>
    <mergeCell ref="A9:D9"/>
    <mergeCell ref="A10:D10"/>
    <mergeCell ref="A11:D11"/>
    <mergeCell ref="A14:D14"/>
    <mergeCell ref="A16:D16"/>
    <mergeCell ref="A22:D22"/>
  </mergeCells>
  <pageMargins left="0.78740157480314965" right="0" top="0" bottom="0" header="0" footer="0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2"/>
  <sheetViews>
    <sheetView view="pageBreakPreview" topLeftCell="A40" zoomScaleNormal="100" zoomScaleSheetLayoutView="100" workbookViewId="0">
      <selection activeCell="S68" sqref="S68"/>
    </sheetView>
  </sheetViews>
  <sheetFormatPr defaultRowHeight="15" x14ac:dyDescent="0.25"/>
  <cols>
    <col min="1" max="1" width="4" customWidth="1"/>
    <col min="2" max="2" width="23.28515625" customWidth="1"/>
    <col min="3" max="3" width="8.42578125" style="41" customWidth="1"/>
    <col min="4" max="4" width="10.28515625" style="41" customWidth="1"/>
    <col min="5" max="5" width="10.42578125" style="41" customWidth="1"/>
    <col min="6" max="6" width="14" style="41" customWidth="1"/>
    <col min="7" max="7" width="16.28515625" style="41" customWidth="1"/>
    <col min="8" max="8" width="10" style="41" bestFit="1" customWidth="1"/>
    <col min="9" max="9" width="14.85546875" style="41" customWidth="1"/>
    <col min="11" max="13" width="9.7109375" bestFit="1" customWidth="1"/>
  </cols>
  <sheetData>
    <row r="1" spans="1:12" s="48" customFormat="1" ht="11.25" x14ac:dyDescent="0.2">
      <c r="C1" s="69"/>
      <c r="D1" s="69"/>
      <c r="E1" s="69"/>
      <c r="F1" s="69"/>
      <c r="G1" s="69"/>
      <c r="H1" s="69"/>
      <c r="I1" s="87" t="s">
        <v>129</v>
      </c>
    </row>
    <row r="2" spans="1:12" s="48" customFormat="1" ht="11.25" x14ac:dyDescent="0.2">
      <c r="C2" s="69"/>
      <c r="D2" s="69"/>
      <c r="E2" s="69"/>
      <c r="F2" s="87"/>
      <c r="G2" s="286" t="s">
        <v>52</v>
      </c>
      <c r="H2" s="286"/>
      <c r="I2" s="286"/>
    </row>
    <row r="3" spans="1:12" s="48" customFormat="1" ht="11.25" x14ac:dyDescent="0.2">
      <c r="C3" s="69"/>
      <c r="D3" s="69"/>
      <c r="E3" s="69"/>
      <c r="F3" s="87"/>
      <c r="G3" s="286" t="s">
        <v>53</v>
      </c>
      <c r="H3" s="286"/>
      <c r="I3" s="286"/>
    </row>
    <row r="4" spans="1:12" s="48" customFormat="1" ht="11.25" x14ac:dyDescent="0.2">
      <c r="C4" s="69"/>
      <c r="D4" s="69"/>
      <c r="E4" s="69"/>
      <c r="F4" s="286" t="s">
        <v>54</v>
      </c>
      <c r="G4" s="286"/>
      <c r="H4" s="286"/>
      <c r="I4" s="286"/>
    </row>
    <row r="6" spans="1:12" ht="15" customHeight="1" x14ac:dyDescent="0.25">
      <c r="A6" s="287" t="s">
        <v>130</v>
      </c>
      <c r="B6" s="287"/>
      <c r="C6" s="287"/>
      <c r="D6" s="287"/>
      <c r="E6" s="287"/>
      <c r="F6" s="287"/>
      <c r="G6" s="287"/>
      <c r="H6" s="287"/>
      <c r="I6" s="287"/>
    </row>
    <row r="7" spans="1:12" ht="15.75" customHeight="1" thickBot="1" x14ac:dyDescent="0.3">
      <c r="A7" s="287" t="s">
        <v>193</v>
      </c>
      <c r="B7" s="287"/>
      <c r="C7" s="287"/>
      <c r="D7" s="287"/>
      <c r="E7" s="287"/>
      <c r="F7" s="287"/>
      <c r="G7" s="287"/>
      <c r="H7" s="287"/>
      <c r="I7" s="287"/>
    </row>
    <row r="8" spans="1:12" s="75" customFormat="1" ht="78.75" x14ac:dyDescent="0.2">
      <c r="A8" s="65" t="s">
        <v>131</v>
      </c>
      <c r="B8" s="66" t="s">
        <v>132</v>
      </c>
      <c r="C8" s="88" t="s">
        <v>2</v>
      </c>
      <c r="D8" s="88" t="s">
        <v>133</v>
      </c>
      <c r="E8" s="88" t="s">
        <v>134</v>
      </c>
      <c r="F8" s="88" t="s">
        <v>135</v>
      </c>
      <c r="G8" s="88" t="s">
        <v>136</v>
      </c>
      <c r="H8" s="88" t="s">
        <v>6</v>
      </c>
      <c r="I8" s="89" t="s">
        <v>137</v>
      </c>
    </row>
    <row r="9" spans="1:12" s="75" customFormat="1" ht="11.25" x14ac:dyDescent="0.2">
      <c r="A9" s="67">
        <v>1</v>
      </c>
      <c r="B9" s="50">
        <v>2</v>
      </c>
      <c r="C9" s="77">
        <v>3</v>
      </c>
      <c r="D9" s="77">
        <v>4</v>
      </c>
      <c r="E9" s="77">
        <v>5</v>
      </c>
      <c r="F9" s="77">
        <v>6</v>
      </c>
      <c r="G9" s="77" t="s">
        <v>138</v>
      </c>
      <c r="H9" s="77">
        <v>8</v>
      </c>
      <c r="I9" s="90" t="s">
        <v>139</v>
      </c>
    </row>
    <row r="10" spans="1:12" s="75" customFormat="1" ht="12.75" customHeight="1" x14ac:dyDescent="0.2">
      <c r="A10" s="278">
        <v>1</v>
      </c>
      <c r="B10" s="283" t="s">
        <v>173</v>
      </c>
      <c r="C10" s="141">
        <v>900</v>
      </c>
      <c r="D10" s="142">
        <f>SUM(D11:D20)</f>
        <v>987.14583225767126</v>
      </c>
      <c r="E10" s="142">
        <f>SUM(E11:E20)</f>
        <v>149.07999999999998</v>
      </c>
      <c r="F10" s="142">
        <f>SUM(F11:F20)</f>
        <v>7747.7161035282634</v>
      </c>
      <c r="G10" s="142">
        <f>SUM(G11:G20)</f>
        <v>8883.9419357859351</v>
      </c>
      <c r="H10" s="142">
        <f>SUM(H11:H20)</f>
        <v>368.822</v>
      </c>
      <c r="I10" s="143">
        <f>G10+H10</f>
        <v>9252.7639357859352</v>
      </c>
    </row>
    <row r="11" spans="1:12" s="75" customFormat="1" ht="12" customHeight="1" x14ac:dyDescent="0.2">
      <c r="A11" s="278"/>
      <c r="B11" s="284"/>
      <c r="C11" s="77">
        <v>211</v>
      </c>
      <c r="D11" s="91">
        <f>'прил 1'!F21</f>
        <v>758.17805599999997</v>
      </c>
      <c r="E11" s="91">
        <v>0</v>
      </c>
      <c r="F11" s="91">
        <f>'прил 1'!F44</f>
        <v>4567.9033279999994</v>
      </c>
      <c r="G11" s="142">
        <f t="shared" ref="G11:G20" si="0">D11+E11+F11</f>
        <v>5326.0813839999992</v>
      </c>
      <c r="H11" s="91">
        <v>0</v>
      </c>
      <c r="I11" s="143">
        <f t="shared" ref="I11:I20" si="1">G11+H11</f>
        <v>5326.0813839999992</v>
      </c>
    </row>
    <row r="12" spans="1:12" s="75" customFormat="1" ht="12" customHeight="1" x14ac:dyDescent="0.2">
      <c r="A12" s="278"/>
      <c r="B12" s="284"/>
      <c r="C12" s="77">
        <v>213</v>
      </c>
      <c r="D12" s="91">
        <f>'прил 1'!F22</f>
        <v>228.96777625767129</v>
      </c>
      <c r="E12" s="91">
        <v>0</v>
      </c>
      <c r="F12" s="91">
        <f>'прил 1'!F45</f>
        <v>1379.4947755282644</v>
      </c>
      <c r="G12" s="142">
        <f t="shared" si="0"/>
        <v>1608.4625517859358</v>
      </c>
      <c r="H12" s="91">
        <v>0</v>
      </c>
      <c r="I12" s="143">
        <f t="shared" si="1"/>
        <v>1608.4625517859358</v>
      </c>
    </row>
    <row r="13" spans="1:12" s="75" customFormat="1" ht="12" customHeight="1" x14ac:dyDescent="0.2">
      <c r="A13" s="278"/>
      <c r="B13" s="284"/>
      <c r="C13" s="77">
        <v>212</v>
      </c>
      <c r="D13" s="91">
        <v>0</v>
      </c>
      <c r="E13" s="91">
        <v>0</v>
      </c>
      <c r="F13" s="91">
        <f>ГОРЛЕС!L6/1000/5</f>
        <v>95</v>
      </c>
      <c r="G13" s="142">
        <f t="shared" si="0"/>
        <v>95</v>
      </c>
      <c r="H13" s="91">
        <v>0</v>
      </c>
      <c r="I13" s="143">
        <f>G13+H13</f>
        <v>95</v>
      </c>
    </row>
    <row r="14" spans="1:12" s="75" customFormat="1" ht="12" customHeight="1" x14ac:dyDescent="0.2">
      <c r="A14" s="278"/>
      <c r="B14" s="284"/>
      <c r="C14" s="77">
        <v>221</v>
      </c>
      <c r="D14" s="91">
        <v>0</v>
      </c>
      <c r="E14" s="91">
        <v>0</v>
      </c>
      <c r="F14" s="91">
        <f>ГОРЛЕС!L8/1000/5</f>
        <v>16.86</v>
      </c>
      <c r="G14" s="142">
        <f t="shared" si="0"/>
        <v>16.86</v>
      </c>
      <c r="H14" s="91">
        <v>0</v>
      </c>
      <c r="I14" s="143">
        <f t="shared" si="1"/>
        <v>16.86</v>
      </c>
    </row>
    <row r="15" spans="1:12" s="75" customFormat="1" ht="12" customHeight="1" x14ac:dyDescent="0.2">
      <c r="A15" s="278"/>
      <c r="B15" s="284"/>
      <c r="C15" s="77">
        <v>222</v>
      </c>
      <c r="D15" s="91">
        <v>0</v>
      </c>
      <c r="E15" s="91">
        <v>0</v>
      </c>
      <c r="F15" s="194">
        <f>(ГОРЛЕС!L9/1000)/5</f>
        <v>35.28</v>
      </c>
      <c r="G15" s="142">
        <f t="shared" si="0"/>
        <v>35.28</v>
      </c>
      <c r="H15" s="91">
        <v>0</v>
      </c>
      <c r="I15" s="143">
        <f t="shared" si="1"/>
        <v>35.28</v>
      </c>
    </row>
    <row r="16" spans="1:12" s="75" customFormat="1" ht="12" customHeight="1" x14ac:dyDescent="0.2">
      <c r="A16" s="278"/>
      <c r="B16" s="284"/>
      <c r="C16" s="77">
        <v>223</v>
      </c>
      <c r="D16" s="91">
        <v>0</v>
      </c>
      <c r="E16" s="91">
        <v>0</v>
      </c>
      <c r="F16" s="194">
        <f>(ГОРЛЕС!L11+ГОРЛЕС!L10+ГОРЛЕС!L12)/5/1000</f>
        <v>284.27800000000002</v>
      </c>
      <c r="G16" s="142">
        <f t="shared" si="0"/>
        <v>284.27800000000002</v>
      </c>
      <c r="H16" s="91">
        <f>(ГОРЛЕС!M10+ГОРЛЕС!M11)/5/1000</f>
        <v>133.62200000000001</v>
      </c>
      <c r="I16" s="143">
        <f t="shared" si="1"/>
        <v>417.90000000000003</v>
      </c>
      <c r="L16" s="75" t="s">
        <v>186</v>
      </c>
    </row>
    <row r="17" spans="1:11" s="75" customFormat="1" ht="12" customHeight="1" x14ac:dyDescent="0.2">
      <c r="A17" s="278"/>
      <c r="B17" s="284"/>
      <c r="C17" s="77">
        <v>225</v>
      </c>
      <c r="D17" s="91">
        <v>0</v>
      </c>
      <c r="E17" s="91">
        <v>0</v>
      </c>
      <c r="F17" s="194">
        <f>(ГОРЛЕС!L13+ГОРЛЕС!L14)/5/1000</f>
        <v>220.4</v>
      </c>
      <c r="G17" s="142">
        <f t="shared" si="0"/>
        <v>220.4</v>
      </c>
      <c r="H17" s="91">
        <v>0</v>
      </c>
      <c r="I17" s="143">
        <f t="shared" si="1"/>
        <v>220.4</v>
      </c>
    </row>
    <row r="18" spans="1:11" s="75" customFormat="1" ht="12" customHeight="1" x14ac:dyDescent="0.2">
      <c r="A18" s="278"/>
      <c r="B18" s="284"/>
      <c r="C18" s="77">
        <v>226</v>
      </c>
      <c r="D18" s="91">
        <v>0</v>
      </c>
      <c r="E18" s="186">
        <v>0</v>
      </c>
      <c r="F18" s="194">
        <f>ГОРЛЕС!L16/1000+ГОРЛЕС!L19/5/1000+ГОРЛЕС!L18/1000+(ГОРЛЕС!L15/5/1000)</f>
        <v>1140.5</v>
      </c>
      <c r="G18" s="142">
        <f>D18+E18+F18</f>
        <v>1140.5</v>
      </c>
      <c r="H18" s="91">
        <v>0</v>
      </c>
      <c r="I18" s="143">
        <f t="shared" si="1"/>
        <v>1140.5</v>
      </c>
    </row>
    <row r="19" spans="1:11" s="75" customFormat="1" ht="12" customHeight="1" x14ac:dyDescent="0.2">
      <c r="A19" s="278"/>
      <c r="B19" s="284"/>
      <c r="C19" s="77">
        <v>290</v>
      </c>
      <c r="D19" s="91">
        <v>0</v>
      </c>
      <c r="E19" s="91">
        <v>0</v>
      </c>
      <c r="F19" s="194">
        <v>0</v>
      </c>
      <c r="G19" s="142">
        <f t="shared" si="0"/>
        <v>0</v>
      </c>
      <c r="H19" s="91">
        <f>ГОРЛЕС!M23/1000/5</f>
        <v>235.2</v>
      </c>
      <c r="I19" s="143">
        <f t="shared" si="1"/>
        <v>235.2</v>
      </c>
    </row>
    <row r="20" spans="1:11" s="75" customFormat="1" ht="12" customHeight="1" x14ac:dyDescent="0.2">
      <c r="A20" s="278"/>
      <c r="B20" s="285"/>
      <c r="C20" s="77">
        <v>340</v>
      </c>
      <c r="D20" s="91">
        <v>0</v>
      </c>
      <c r="E20" s="158">
        <f>'прил 2'!C15/5</f>
        <v>149.07999999999998</v>
      </c>
      <c r="F20" s="158">
        <f>'прил 2'!C44/5</f>
        <v>8</v>
      </c>
      <c r="G20" s="142">
        <f t="shared" si="0"/>
        <v>157.07999999999998</v>
      </c>
      <c r="H20" s="91">
        <v>0</v>
      </c>
      <c r="I20" s="143">
        <f t="shared" si="1"/>
        <v>157.07999999999998</v>
      </c>
    </row>
    <row r="21" spans="1:11" s="75" customFormat="1" ht="12" customHeight="1" x14ac:dyDescent="0.2">
      <c r="A21" s="278">
        <v>2</v>
      </c>
      <c r="B21" s="279" t="s">
        <v>186</v>
      </c>
      <c r="C21" s="141">
        <v>900</v>
      </c>
      <c r="D21" s="142">
        <f>SUM(D22:D31)</f>
        <v>788.93445339068205</v>
      </c>
      <c r="E21" s="142">
        <f>SUM(E22:E31)</f>
        <v>149.07999999999998</v>
      </c>
      <c r="F21" s="193">
        <f>SUM(F22:F31)</f>
        <v>2361.024528189344</v>
      </c>
      <c r="G21" s="142">
        <f>SUM(G22:G31)</f>
        <v>3328.5589815800263</v>
      </c>
      <c r="H21" s="142">
        <f>SUM(H22:H31)</f>
        <v>368.822</v>
      </c>
      <c r="I21" s="143">
        <f>G21+H21</f>
        <v>3697.3809815800264</v>
      </c>
    </row>
    <row r="22" spans="1:11" s="75" customFormat="1" ht="12" customHeight="1" x14ac:dyDescent="0.2">
      <c r="A22" s="278"/>
      <c r="B22" s="279"/>
      <c r="C22" s="77">
        <v>211</v>
      </c>
      <c r="D22" s="91">
        <f>'прил 1'!H21</f>
        <v>605.94166600000005</v>
      </c>
      <c r="E22" s="91">
        <v>0</v>
      </c>
      <c r="F22" s="194">
        <f>'прил 1'!H44</f>
        <v>1188.4482780000001</v>
      </c>
      <c r="G22" s="142">
        <f t="shared" ref="G22:G30" si="2">D22+E22+F22</f>
        <v>1794.389944</v>
      </c>
      <c r="H22" s="91">
        <v>0</v>
      </c>
      <c r="I22" s="143">
        <f t="shared" ref="I22:I23" si="3">G22+H22</f>
        <v>1794.389944</v>
      </c>
    </row>
    <row r="23" spans="1:11" s="75" customFormat="1" ht="12" customHeight="1" x14ac:dyDescent="0.2">
      <c r="A23" s="278"/>
      <c r="B23" s="279"/>
      <c r="C23" s="77">
        <v>213</v>
      </c>
      <c r="D23" s="91">
        <f>'прил 1'!H22</f>
        <v>182.992787390682</v>
      </c>
      <c r="E23" s="91">
        <v>0</v>
      </c>
      <c r="F23" s="194">
        <f>'прил 1'!H45</f>
        <v>358.90825018934436</v>
      </c>
      <c r="G23" s="142">
        <f t="shared" si="2"/>
        <v>541.90103758002635</v>
      </c>
      <c r="H23" s="91">
        <v>0</v>
      </c>
      <c r="I23" s="143">
        <f t="shared" si="3"/>
        <v>541.90103758002635</v>
      </c>
    </row>
    <row r="24" spans="1:11" s="75" customFormat="1" ht="12" customHeight="1" x14ac:dyDescent="0.2">
      <c r="A24" s="278"/>
      <c r="B24" s="279"/>
      <c r="C24" s="77">
        <v>212</v>
      </c>
      <c r="D24" s="91">
        <v>0</v>
      </c>
      <c r="E24" s="91">
        <v>0</v>
      </c>
      <c r="F24" s="194">
        <f>F13</f>
        <v>95</v>
      </c>
      <c r="G24" s="142">
        <f t="shared" si="2"/>
        <v>95</v>
      </c>
      <c r="H24" s="91">
        <v>0</v>
      </c>
      <c r="I24" s="143">
        <f>G24+H24</f>
        <v>95</v>
      </c>
    </row>
    <row r="25" spans="1:11" s="75" customFormat="1" ht="12" customHeight="1" x14ac:dyDescent="0.2">
      <c r="A25" s="278"/>
      <c r="B25" s="279"/>
      <c r="C25" s="77">
        <v>221</v>
      </c>
      <c r="D25" s="91">
        <v>0</v>
      </c>
      <c r="E25" s="91">
        <v>0</v>
      </c>
      <c r="F25" s="194">
        <f t="shared" ref="F25:F30" si="4">F14</f>
        <v>16.86</v>
      </c>
      <c r="G25" s="142">
        <f t="shared" si="2"/>
        <v>16.86</v>
      </c>
      <c r="H25" s="91">
        <v>0</v>
      </c>
      <c r="I25" s="143">
        <f t="shared" ref="I25:I31" si="5">G25+H25</f>
        <v>16.86</v>
      </c>
    </row>
    <row r="26" spans="1:11" s="75" customFormat="1" ht="12" customHeight="1" x14ac:dyDescent="0.2">
      <c r="A26" s="278"/>
      <c r="B26" s="279"/>
      <c r="C26" s="77">
        <v>222</v>
      </c>
      <c r="D26" s="91">
        <v>0</v>
      </c>
      <c r="E26" s="91">
        <v>0</v>
      </c>
      <c r="F26" s="194">
        <f>F15</f>
        <v>35.28</v>
      </c>
      <c r="G26" s="142">
        <f t="shared" si="2"/>
        <v>35.28</v>
      </c>
      <c r="H26" s="91">
        <v>0</v>
      </c>
      <c r="I26" s="143">
        <f t="shared" si="5"/>
        <v>35.28</v>
      </c>
    </row>
    <row r="27" spans="1:11" s="75" customFormat="1" ht="12" customHeight="1" x14ac:dyDescent="0.2">
      <c r="A27" s="278"/>
      <c r="B27" s="279"/>
      <c r="C27" s="77">
        <v>223</v>
      </c>
      <c r="D27" s="91">
        <v>0</v>
      </c>
      <c r="E27" s="91">
        <v>0</v>
      </c>
      <c r="F27" s="194">
        <f t="shared" si="4"/>
        <v>284.27800000000002</v>
      </c>
      <c r="G27" s="142">
        <f t="shared" si="2"/>
        <v>284.27800000000002</v>
      </c>
      <c r="H27" s="91">
        <f>H16</f>
        <v>133.62200000000001</v>
      </c>
      <c r="I27" s="143">
        <f t="shared" si="5"/>
        <v>417.90000000000003</v>
      </c>
    </row>
    <row r="28" spans="1:11" s="75" customFormat="1" ht="12" customHeight="1" x14ac:dyDescent="0.2">
      <c r="A28" s="278"/>
      <c r="B28" s="279"/>
      <c r="C28" s="77">
        <v>225</v>
      </c>
      <c r="D28" s="91">
        <v>0</v>
      </c>
      <c r="E28" s="91">
        <v>0</v>
      </c>
      <c r="F28" s="194">
        <f t="shared" si="4"/>
        <v>220.4</v>
      </c>
      <c r="G28" s="142">
        <f t="shared" si="2"/>
        <v>220.4</v>
      </c>
      <c r="H28" s="91">
        <v>0</v>
      </c>
      <c r="I28" s="143">
        <f t="shared" si="5"/>
        <v>220.4</v>
      </c>
    </row>
    <row r="29" spans="1:11" s="75" customFormat="1" ht="12" customHeight="1" x14ac:dyDescent="0.2">
      <c r="A29" s="278"/>
      <c r="B29" s="279"/>
      <c r="C29" s="77">
        <v>226</v>
      </c>
      <c r="D29" s="91">
        <v>0</v>
      </c>
      <c r="E29" s="91">
        <v>0</v>
      </c>
      <c r="F29" s="194">
        <f>ГОРЛЕС!L17/2/1000+ГОРЛЕС!L19/5/1000+(ГОРЛЕС!L15/5/1000)</f>
        <v>153.85</v>
      </c>
      <c r="G29" s="142">
        <f t="shared" si="2"/>
        <v>153.85</v>
      </c>
      <c r="H29" s="91">
        <v>0</v>
      </c>
      <c r="I29" s="143">
        <f t="shared" si="5"/>
        <v>153.85</v>
      </c>
    </row>
    <row r="30" spans="1:11" s="75" customFormat="1" ht="12" customHeight="1" x14ac:dyDescent="0.2">
      <c r="A30" s="278"/>
      <c r="B30" s="279"/>
      <c r="C30" s="77">
        <v>290</v>
      </c>
      <c r="D30" s="91">
        <v>0</v>
      </c>
      <c r="E30" s="91">
        <v>0</v>
      </c>
      <c r="F30" s="194">
        <f t="shared" si="4"/>
        <v>0</v>
      </c>
      <c r="G30" s="142">
        <f t="shared" si="2"/>
        <v>0</v>
      </c>
      <c r="H30" s="91">
        <f>H19</f>
        <v>235.2</v>
      </c>
      <c r="I30" s="143">
        <f t="shared" si="5"/>
        <v>235.2</v>
      </c>
    </row>
    <row r="31" spans="1:11" s="75" customFormat="1" ht="12" customHeight="1" x14ac:dyDescent="0.2">
      <c r="A31" s="278"/>
      <c r="B31" s="279"/>
      <c r="C31" s="77">
        <v>340</v>
      </c>
      <c r="D31" s="91">
        <v>0</v>
      </c>
      <c r="E31" s="158">
        <f>E20</f>
        <v>149.07999999999998</v>
      </c>
      <c r="F31" s="158">
        <f>F20</f>
        <v>8</v>
      </c>
      <c r="G31" s="142">
        <v>186.6</v>
      </c>
      <c r="H31" s="91">
        <f>H20</f>
        <v>0</v>
      </c>
      <c r="I31" s="143">
        <f t="shared" si="5"/>
        <v>186.6</v>
      </c>
    </row>
    <row r="32" spans="1:11" s="144" customFormat="1" ht="12" customHeight="1" x14ac:dyDescent="0.2">
      <c r="A32" s="278">
        <v>3</v>
      </c>
      <c r="B32" s="279" t="s">
        <v>172</v>
      </c>
      <c r="C32" s="141">
        <v>900</v>
      </c>
      <c r="D32" s="142">
        <f t="shared" ref="D32:I32" si="6">SUM(D33:D42)</f>
        <v>788.93445339068205</v>
      </c>
      <c r="E32" s="142">
        <f t="shared" si="6"/>
        <v>149.07999999999998</v>
      </c>
      <c r="F32" s="193">
        <f t="shared" si="6"/>
        <v>1898.9271999802791</v>
      </c>
      <c r="G32" s="142">
        <f t="shared" si="6"/>
        <v>2866.4616533709609</v>
      </c>
      <c r="H32" s="142">
        <f t="shared" si="6"/>
        <v>368.822</v>
      </c>
      <c r="I32" s="143">
        <f t="shared" si="6"/>
        <v>3235.283653370961</v>
      </c>
      <c r="K32" s="145"/>
    </row>
    <row r="33" spans="1:11" s="144" customFormat="1" ht="12" customHeight="1" x14ac:dyDescent="0.2">
      <c r="A33" s="278"/>
      <c r="B33" s="279"/>
      <c r="C33" s="77">
        <v>211</v>
      </c>
      <c r="D33" s="91">
        <f>'прил 1'!J21</f>
        <v>605.94166600000005</v>
      </c>
      <c r="E33" s="91">
        <v>0</v>
      </c>
      <c r="F33" s="194">
        <f>'прил 1'!J44</f>
        <v>852.92737799999986</v>
      </c>
      <c r="G33" s="142">
        <f>D33+E33+F33</f>
        <v>1458.869044</v>
      </c>
      <c r="H33" s="91">
        <v>0</v>
      </c>
      <c r="I33" s="143">
        <f>G33+H33</f>
        <v>1458.869044</v>
      </c>
      <c r="J33" s="145"/>
      <c r="K33" s="145"/>
    </row>
    <row r="34" spans="1:11" s="144" customFormat="1" ht="12" customHeight="1" x14ac:dyDescent="0.2">
      <c r="A34" s="278"/>
      <c r="B34" s="279"/>
      <c r="C34" s="77">
        <v>213</v>
      </c>
      <c r="D34" s="91">
        <f>'прил 1'!J22</f>
        <v>182.992787390682</v>
      </c>
      <c r="E34" s="91">
        <v>0</v>
      </c>
      <c r="F34" s="194">
        <f>'прил 1'!J45</f>
        <v>257.58182198027924</v>
      </c>
      <c r="G34" s="142">
        <f t="shared" ref="G34:G41" si="7">D34+E34+F34</f>
        <v>440.57460937096124</v>
      </c>
      <c r="H34" s="91">
        <v>0</v>
      </c>
      <c r="I34" s="143">
        <f t="shared" ref="I34:I42" si="8">G34+H34</f>
        <v>440.57460937096124</v>
      </c>
      <c r="J34" s="145"/>
      <c r="K34" s="145"/>
    </row>
    <row r="35" spans="1:11" s="144" customFormat="1" ht="12" customHeight="1" x14ac:dyDescent="0.2">
      <c r="A35" s="278"/>
      <c r="B35" s="279"/>
      <c r="C35" s="77">
        <v>212</v>
      </c>
      <c r="D35" s="91">
        <v>0</v>
      </c>
      <c r="E35" s="91">
        <v>0</v>
      </c>
      <c r="F35" s="194">
        <f t="shared" ref="F35:F41" si="9">F13</f>
        <v>95</v>
      </c>
      <c r="G35" s="142">
        <f t="shared" si="7"/>
        <v>95</v>
      </c>
      <c r="H35" s="91">
        <v>0</v>
      </c>
      <c r="I35" s="143">
        <f t="shared" si="8"/>
        <v>95</v>
      </c>
      <c r="J35" s="145"/>
      <c r="K35" s="145"/>
    </row>
    <row r="36" spans="1:11" s="144" customFormat="1" ht="12" customHeight="1" x14ac:dyDescent="0.2">
      <c r="A36" s="278"/>
      <c r="B36" s="279"/>
      <c r="C36" s="77">
        <v>221</v>
      </c>
      <c r="D36" s="91">
        <v>0</v>
      </c>
      <c r="E36" s="91">
        <v>0</v>
      </c>
      <c r="F36" s="194">
        <f t="shared" si="9"/>
        <v>16.86</v>
      </c>
      <c r="G36" s="142">
        <f t="shared" si="7"/>
        <v>16.86</v>
      </c>
      <c r="H36" s="91">
        <v>0</v>
      </c>
      <c r="I36" s="143">
        <f t="shared" si="8"/>
        <v>16.86</v>
      </c>
      <c r="K36" s="145"/>
    </row>
    <row r="37" spans="1:11" s="144" customFormat="1" ht="12" customHeight="1" x14ac:dyDescent="0.2">
      <c r="A37" s="278"/>
      <c r="B37" s="279"/>
      <c r="C37" s="77">
        <v>222</v>
      </c>
      <c r="D37" s="91">
        <v>0</v>
      </c>
      <c r="E37" s="91">
        <v>0</v>
      </c>
      <c r="F37" s="194">
        <f>F26</f>
        <v>35.28</v>
      </c>
      <c r="G37" s="142">
        <f t="shared" si="7"/>
        <v>35.28</v>
      </c>
      <c r="H37" s="91">
        <v>0</v>
      </c>
      <c r="I37" s="143">
        <f t="shared" si="8"/>
        <v>35.28</v>
      </c>
      <c r="K37" s="145"/>
    </row>
    <row r="38" spans="1:11" s="144" customFormat="1" ht="12" customHeight="1" x14ac:dyDescent="0.2">
      <c r="A38" s="278"/>
      <c r="B38" s="279"/>
      <c r="C38" s="77">
        <v>223</v>
      </c>
      <c r="D38" s="91">
        <v>0</v>
      </c>
      <c r="E38" s="91">
        <v>0</v>
      </c>
      <c r="F38" s="194">
        <f t="shared" si="9"/>
        <v>284.27800000000002</v>
      </c>
      <c r="G38" s="142">
        <f t="shared" si="7"/>
        <v>284.27800000000002</v>
      </c>
      <c r="H38" s="91">
        <f>H27</f>
        <v>133.62200000000001</v>
      </c>
      <c r="I38" s="143">
        <f t="shared" si="8"/>
        <v>417.90000000000003</v>
      </c>
      <c r="K38" s="145"/>
    </row>
    <row r="39" spans="1:11" s="144" customFormat="1" ht="12" customHeight="1" x14ac:dyDescent="0.2">
      <c r="A39" s="278"/>
      <c r="B39" s="279"/>
      <c r="C39" s="77">
        <v>225</v>
      </c>
      <c r="D39" s="91">
        <v>0</v>
      </c>
      <c r="E39" s="91">
        <v>0</v>
      </c>
      <c r="F39" s="194">
        <f t="shared" si="9"/>
        <v>220.4</v>
      </c>
      <c r="G39" s="142">
        <f t="shared" si="7"/>
        <v>220.4</v>
      </c>
      <c r="H39" s="91">
        <v>0</v>
      </c>
      <c r="I39" s="143">
        <f t="shared" si="8"/>
        <v>220.4</v>
      </c>
      <c r="K39" s="145"/>
    </row>
    <row r="40" spans="1:11" s="144" customFormat="1" ht="12" customHeight="1" x14ac:dyDescent="0.2">
      <c r="A40" s="278"/>
      <c r="B40" s="279"/>
      <c r="C40" s="77">
        <v>226</v>
      </c>
      <c r="D40" s="91">
        <v>0</v>
      </c>
      <c r="E40" s="91">
        <v>0</v>
      </c>
      <c r="F40" s="194">
        <f>ГОРЛЕС!L19/5/1000+(ГОРЛЕС!L15/5/1000)</f>
        <v>128.6</v>
      </c>
      <c r="G40" s="142">
        <f t="shared" si="7"/>
        <v>128.6</v>
      </c>
      <c r="H40" s="91">
        <v>0</v>
      </c>
      <c r="I40" s="143">
        <f t="shared" si="8"/>
        <v>128.6</v>
      </c>
      <c r="K40" s="145"/>
    </row>
    <row r="41" spans="1:11" s="144" customFormat="1" ht="12" customHeight="1" x14ac:dyDescent="0.2">
      <c r="A41" s="278"/>
      <c r="B41" s="279"/>
      <c r="C41" s="77">
        <v>290</v>
      </c>
      <c r="D41" s="91">
        <v>0</v>
      </c>
      <c r="E41" s="91">
        <v>0</v>
      </c>
      <c r="F41" s="194">
        <f t="shared" si="9"/>
        <v>0</v>
      </c>
      <c r="G41" s="142">
        <f t="shared" si="7"/>
        <v>0</v>
      </c>
      <c r="H41" s="91">
        <f>H30</f>
        <v>235.2</v>
      </c>
      <c r="I41" s="143">
        <f t="shared" si="8"/>
        <v>235.2</v>
      </c>
      <c r="K41" s="145"/>
    </row>
    <row r="42" spans="1:11" s="144" customFormat="1" ht="12" customHeight="1" x14ac:dyDescent="0.2">
      <c r="A42" s="278"/>
      <c r="B42" s="279"/>
      <c r="C42" s="77">
        <v>340</v>
      </c>
      <c r="D42" s="91">
        <v>0</v>
      </c>
      <c r="E42" s="91">
        <f>E20</f>
        <v>149.07999999999998</v>
      </c>
      <c r="F42" s="194">
        <f>F20</f>
        <v>8</v>
      </c>
      <c r="G42" s="142">
        <v>186.6</v>
      </c>
      <c r="H42" s="91">
        <v>0</v>
      </c>
      <c r="I42" s="143">
        <f t="shared" si="8"/>
        <v>186.6</v>
      </c>
      <c r="K42" s="145"/>
    </row>
    <row r="43" spans="1:11" s="144" customFormat="1" ht="12" customHeight="1" x14ac:dyDescent="0.2">
      <c r="A43" s="280">
        <v>4</v>
      </c>
      <c r="B43" s="283" t="s">
        <v>175</v>
      </c>
      <c r="C43" s="141">
        <v>900</v>
      </c>
      <c r="D43" s="142">
        <f t="shared" ref="D43" si="10">SUM(D44:D53)</f>
        <v>788.93445339068205</v>
      </c>
      <c r="E43" s="142">
        <f t="shared" ref="E43:I43" si="11">SUM(E44:E53)</f>
        <v>149.07999999999998</v>
      </c>
      <c r="F43" s="193">
        <f t="shared" si="11"/>
        <v>1898.9271999802791</v>
      </c>
      <c r="G43" s="142">
        <f t="shared" si="11"/>
        <v>2866.4616533709609</v>
      </c>
      <c r="H43" s="142">
        <f t="shared" si="11"/>
        <v>368.822</v>
      </c>
      <c r="I43" s="143">
        <f t="shared" si="11"/>
        <v>3235.283653370961</v>
      </c>
      <c r="K43" s="145"/>
    </row>
    <row r="44" spans="1:11" s="144" customFormat="1" ht="12" customHeight="1" x14ac:dyDescent="0.2">
      <c r="A44" s="281"/>
      <c r="B44" s="284"/>
      <c r="C44" s="77">
        <v>211</v>
      </c>
      <c r="D44" s="91">
        <f>'прил 1'!L21</f>
        <v>605.94166600000005</v>
      </c>
      <c r="E44" s="91">
        <v>0</v>
      </c>
      <c r="F44" s="194">
        <f>'прил 1'!L44</f>
        <v>852.92737799999986</v>
      </c>
      <c r="G44" s="142">
        <f>D44+E44+F44</f>
        <v>1458.869044</v>
      </c>
      <c r="H44" s="91">
        <v>0</v>
      </c>
      <c r="I44" s="143">
        <f>G44+H44</f>
        <v>1458.869044</v>
      </c>
      <c r="K44" s="145"/>
    </row>
    <row r="45" spans="1:11" s="144" customFormat="1" ht="12" customHeight="1" x14ac:dyDescent="0.2">
      <c r="A45" s="281"/>
      <c r="B45" s="284"/>
      <c r="C45" s="77">
        <v>213</v>
      </c>
      <c r="D45" s="91">
        <f>'прил 1'!L22</f>
        <v>182.992787390682</v>
      </c>
      <c r="E45" s="91">
        <v>0</v>
      </c>
      <c r="F45" s="194">
        <f>'прил 1'!L45</f>
        <v>257.58182198027924</v>
      </c>
      <c r="G45" s="142">
        <f t="shared" ref="G45:G52" si="12">D45+E45+F45</f>
        <v>440.57460937096124</v>
      </c>
      <c r="H45" s="91">
        <v>0</v>
      </c>
      <c r="I45" s="143">
        <f t="shared" ref="I45:I53" si="13">G45+H45</f>
        <v>440.57460937096124</v>
      </c>
      <c r="K45" s="145"/>
    </row>
    <row r="46" spans="1:11" s="144" customFormat="1" ht="12" customHeight="1" x14ac:dyDescent="0.2">
      <c r="A46" s="281"/>
      <c r="B46" s="284"/>
      <c r="C46" s="77">
        <v>212</v>
      </c>
      <c r="D46" s="91">
        <v>0</v>
      </c>
      <c r="E46" s="91">
        <f>E13</f>
        <v>0</v>
      </c>
      <c r="F46" s="194">
        <f>F13</f>
        <v>95</v>
      </c>
      <c r="G46" s="142">
        <f t="shared" si="12"/>
        <v>95</v>
      </c>
      <c r="H46" s="91">
        <v>0</v>
      </c>
      <c r="I46" s="143">
        <f t="shared" si="13"/>
        <v>95</v>
      </c>
      <c r="K46" s="145"/>
    </row>
    <row r="47" spans="1:11" s="144" customFormat="1" ht="12" customHeight="1" x14ac:dyDescent="0.2">
      <c r="A47" s="281"/>
      <c r="B47" s="284"/>
      <c r="C47" s="77">
        <v>221</v>
      </c>
      <c r="D47" s="91">
        <v>0</v>
      </c>
      <c r="E47" s="91">
        <f t="shared" ref="E47:F52" si="14">E14</f>
        <v>0</v>
      </c>
      <c r="F47" s="194">
        <f t="shared" si="14"/>
        <v>16.86</v>
      </c>
      <c r="G47" s="142">
        <f t="shared" si="12"/>
        <v>16.86</v>
      </c>
      <c r="H47" s="91">
        <v>0</v>
      </c>
      <c r="I47" s="143">
        <f t="shared" si="13"/>
        <v>16.86</v>
      </c>
      <c r="K47" s="145"/>
    </row>
    <row r="48" spans="1:11" s="144" customFormat="1" ht="12" customHeight="1" x14ac:dyDescent="0.2">
      <c r="A48" s="281"/>
      <c r="B48" s="284"/>
      <c r="C48" s="77">
        <v>222</v>
      </c>
      <c r="D48" s="91">
        <v>0</v>
      </c>
      <c r="E48" s="91">
        <f t="shared" si="14"/>
        <v>0</v>
      </c>
      <c r="F48" s="194">
        <f>F26</f>
        <v>35.28</v>
      </c>
      <c r="G48" s="142">
        <f t="shared" si="12"/>
        <v>35.28</v>
      </c>
      <c r="H48" s="91">
        <v>0</v>
      </c>
      <c r="I48" s="143">
        <f t="shared" si="13"/>
        <v>35.28</v>
      </c>
      <c r="K48" s="145"/>
    </row>
    <row r="49" spans="1:13" s="144" customFormat="1" ht="12" customHeight="1" x14ac:dyDescent="0.2">
      <c r="A49" s="281"/>
      <c r="B49" s="284"/>
      <c r="C49" s="77">
        <v>223</v>
      </c>
      <c r="D49" s="91">
        <v>0</v>
      </c>
      <c r="E49" s="91">
        <f t="shared" si="14"/>
        <v>0</v>
      </c>
      <c r="F49" s="194">
        <f t="shared" si="14"/>
        <v>284.27800000000002</v>
      </c>
      <c r="G49" s="142">
        <f t="shared" si="12"/>
        <v>284.27800000000002</v>
      </c>
      <c r="H49" s="91">
        <f>H16</f>
        <v>133.62200000000001</v>
      </c>
      <c r="I49" s="143">
        <f t="shared" si="13"/>
        <v>417.90000000000003</v>
      </c>
      <c r="K49" s="145"/>
    </row>
    <row r="50" spans="1:13" s="144" customFormat="1" ht="12" customHeight="1" x14ac:dyDescent="0.2">
      <c r="A50" s="281"/>
      <c r="B50" s="284"/>
      <c r="C50" s="77">
        <v>225</v>
      </c>
      <c r="D50" s="91">
        <v>0</v>
      </c>
      <c r="E50" s="91">
        <f t="shared" si="14"/>
        <v>0</v>
      </c>
      <c r="F50" s="194">
        <f t="shared" si="14"/>
        <v>220.4</v>
      </c>
      <c r="G50" s="142">
        <f t="shared" si="12"/>
        <v>220.4</v>
      </c>
      <c r="H50" s="91">
        <v>0</v>
      </c>
      <c r="I50" s="143">
        <f t="shared" si="13"/>
        <v>220.4</v>
      </c>
      <c r="K50" s="145"/>
    </row>
    <row r="51" spans="1:13" s="144" customFormat="1" ht="12" customHeight="1" x14ac:dyDescent="0.2">
      <c r="A51" s="281"/>
      <c r="B51" s="284"/>
      <c r="C51" s="77">
        <v>226</v>
      </c>
      <c r="D51" s="91">
        <v>0</v>
      </c>
      <c r="E51" s="91">
        <v>0</v>
      </c>
      <c r="F51" s="194">
        <f>ГОРЛЕС!L19/5/1000+ГОРЛЕС!L15/5/1000</f>
        <v>128.6</v>
      </c>
      <c r="G51" s="142">
        <f t="shared" si="12"/>
        <v>128.6</v>
      </c>
      <c r="H51" s="91">
        <v>0</v>
      </c>
      <c r="I51" s="143">
        <f t="shared" si="13"/>
        <v>128.6</v>
      </c>
      <c r="K51" s="145"/>
    </row>
    <row r="52" spans="1:13" s="144" customFormat="1" ht="12" customHeight="1" x14ac:dyDescent="0.2">
      <c r="A52" s="281"/>
      <c r="B52" s="284"/>
      <c r="C52" s="77">
        <v>290</v>
      </c>
      <c r="D52" s="91">
        <v>0</v>
      </c>
      <c r="E52" s="91">
        <f t="shared" si="14"/>
        <v>0</v>
      </c>
      <c r="F52" s="194">
        <f t="shared" ref="F52:F53" si="15">F19</f>
        <v>0</v>
      </c>
      <c r="G52" s="142">
        <f t="shared" si="12"/>
        <v>0</v>
      </c>
      <c r="H52" s="91">
        <f>H19</f>
        <v>235.2</v>
      </c>
      <c r="I52" s="143">
        <f t="shared" si="13"/>
        <v>235.2</v>
      </c>
      <c r="K52" s="145"/>
    </row>
    <row r="53" spans="1:13" s="144" customFormat="1" ht="12" customHeight="1" x14ac:dyDescent="0.2">
      <c r="A53" s="282"/>
      <c r="B53" s="285"/>
      <c r="C53" s="77">
        <v>340</v>
      </c>
      <c r="D53" s="91">
        <v>0</v>
      </c>
      <c r="E53" s="158">
        <f>E20</f>
        <v>149.07999999999998</v>
      </c>
      <c r="F53" s="158">
        <f t="shared" si="15"/>
        <v>8</v>
      </c>
      <c r="G53" s="142">
        <v>186.6</v>
      </c>
      <c r="H53" s="91">
        <v>0</v>
      </c>
      <c r="I53" s="143">
        <f t="shared" si="13"/>
        <v>186.6</v>
      </c>
      <c r="K53" s="145"/>
    </row>
    <row r="54" spans="1:13" s="144" customFormat="1" ht="12" customHeight="1" x14ac:dyDescent="0.2">
      <c r="A54" s="280">
        <v>5</v>
      </c>
      <c r="B54" s="283" t="s">
        <v>183</v>
      </c>
      <c r="C54" s="141">
        <v>900</v>
      </c>
      <c r="D54" s="142">
        <f t="shared" ref="D54" si="16">SUM(D55:D64)</f>
        <v>788.93445339068205</v>
      </c>
      <c r="E54" s="142">
        <f t="shared" ref="E54:I54" si="17">SUM(E55:E64)</f>
        <v>149.07999999999998</v>
      </c>
      <c r="F54" s="193">
        <f t="shared" si="17"/>
        <v>2361.024528189344</v>
      </c>
      <c r="G54" s="142">
        <f t="shared" si="17"/>
        <v>3328.5589815800263</v>
      </c>
      <c r="H54" s="142">
        <f t="shared" si="17"/>
        <v>368.822</v>
      </c>
      <c r="I54" s="143">
        <f t="shared" si="17"/>
        <v>3697.3809815800264</v>
      </c>
      <c r="K54" s="145"/>
      <c r="M54" s="145"/>
    </row>
    <row r="55" spans="1:13" s="144" customFormat="1" ht="12" customHeight="1" x14ac:dyDescent="0.2">
      <c r="A55" s="281"/>
      <c r="B55" s="284"/>
      <c r="C55" s="77">
        <v>211</v>
      </c>
      <c r="D55" s="91">
        <f>'прил 1'!N21</f>
        <v>605.94166600000005</v>
      </c>
      <c r="E55" s="91">
        <v>0</v>
      </c>
      <c r="F55" s="194">
        <f>'прил 1'!N44</f>
        <v>1188.4482780000001</v>
      </c>
      <c r="G55" s="142">
        <f>D55+E55+F55</f>
        <v>1794.389944</v>
      </c>
      <c r="H55" s="91">
        <v>0</v>
      </c>
      <c r="I55" s="143">
        <f>G55+H55</f>
        <v>1794.389944</v>
      </c>
      <c r="K55" s="145"/>
    </row>
    <row r="56" spans="1:13" s="144" customFormat="1" ht="12" customHeight="1" x14ac:dyDescent="0.2">
      <c r="A56" s="281"/>
      <c r="B56" s="284"/>
      <c r="C56" s="77">
        <v>213</v>
      </c>
      <c r="D56" s="91">
        <f>'прил 1'!N22</f>
        <v>182.992787390682</v>
      </c>
      <c r="E56" s="91">
        <v>0</v>
      </c>
      <c r="F56" s="194">
        <f>'прил 1'!N45</f>
        <v>358.90825018934436</v>
      </c>
      <c r="G56" s="142">
        <f t="shared" ref="G56:G63" si="18">D56+E56+F56</f>
        <v>541.90103758002635</v>
      </c>
      <c r="H56" s="91">
        <v>0</v>
      </c>
      <c r="I56" s="143">
        <f t="shared" ref="I56:I64" si="19">G56+H56</f>
        <v>541.90103758002635</v>
      </c>
      <c r="K56" s="145"/>
    </row>
    <row r="57" spans="1:13" s="144" customFormat="1" ht="12" customHeight="1" x14ac:dyDescent="0.2">
      <c r="A57" s="281"/>
      <c r="B57" s="284"/>
      <c r="C57" s="77">
        <v>212</v>
      </c>
      <c r="D57" s="91">
        <v>0</v>
      </c>
      <c r="E57" s="91">
        <f>E24</f>
        <v>0</v>
      </c>
      <c r="F57" s="194">
        <f>F13</f>
        <v>95</v>
      </c>
      <c r="G57" s="142">
        <f t="shared" si="18"/>
        <v>95</v>
      </c>
      <c r="H57" s="91">
        <v>0</v>
      </c>
      <c r="I57" s="143">
        <f>G57+H57</f>
        <v>95</v>
      </c>
      <c r="K57" s="145"/>
    </row>
    <row r="58" spans="1:13" s="144" customFormat="1" ht="12" customHeight="1" x14ac:dyDescent="0.2">
      <c r="A58" s="281"/>
      <c r="B58" s="284"/>
      <c r="C58" s="77">
        <v>221</v>
      </c>
      <c r="D58" s="91">
        <v>0</v>
      </c>
      <c r="E58" s="91">
        <f t="shared" ref="E58" si="20">E25</f>
        <v>0</v>
      </c>
      <c r="F58" s="194">
        <f t="shared" ref="F58:F63" si="21">F14</f>
        <v>16.86</v>
      </c>
      <c r="G58" s="142">
        <f t="shared" si="18"/>
        <v>16.86</v>
      </c>
      <c r="H58" s="91">
        <v>0</v>
      </c>
      <c r="I58" s="143">
        <f t="shared" si="19"/>
        <v>16.86</v>
      </c>
      <c r="K58" s="145"/>
    </row>
    <row r="59" spans="1:13" s="144" customFormat="1" ht="12" customHeight="1" x14ac:dyDescent="0.2">
      <c r="A59" s="281"/>
      <c r="B59" s="284"/>
      <c r="C59" s="77">
        <v>222</v>
      </c>
      <c r="D59" s="91">
        <v>0</v>
      </c>
      <c r="E59" s="91">
        <f t="shared" ref="E59" si="22">E26</f>
        <v>0</v>
      </c>
      <c r="F59" s="194">
        <f>F26</f>
        <v>35.28</v>
      </c>
      <c r="G59" s="142">
        <f t="shared" si="18"/>
        <v>35.28</v>
      </c>
      <c r="H59" s="91">
        <v>0</v>
      </c>
      <c r="I59" s="143">
        <f>G59+H59</f>
        <v>35.28</v>
      </c>
      <c r="K59" s="145"/>
    </row>
    <row r="60" spans="1:13" s="144" customFormat="1" ht="12" customHeight="1" x14ac:dyDescent="0.2">
      <c r="A60" s="281"/>
      <c r="B60" s="284"/>
      <c r="C60" s="77">
        <v>223</v>
      </c>
      <c r="D60" s="91">
        <v>0</v>
      </c>
      <c r="E60" s="91">
        <f t="shared" ref="E60" si="23">E27</f>
        <v>0</v>
      </c>
      <c r="F60" s="194">
        <f t="shared" si="21"/>
        <v>284.27800000000002</v>
      </c>
      <c r="G60" s="142">
        <f t="shared" si="18"/>
        <v>284.27800000000002</v>
      </c>
      <c r="H60" s="91">
        <f>H16</f>
        <v>133.62200000000001</v>
      </c>
      <c r="I60" s="143">
        <f t="shared" si="19"/>
        <v>417.90000000000003</v>
      </c>
      <c r="K60" s="145"/>
    </row>
    <row r="61" spans="1:13" s="144" customFormat="1" ht="12" customHeight="1" x14ac:dyDescent="0.2">
      <c r="A61" s="281"/>
      <c r="B61" s="284"/>
      <c r="C61" s="77">
        <v>225</v>
      </c>
      <c r="D61" s="91">
        <v>0</v>
      </c>
      <c r="E61" s="91">
        <f t="shared" ref="E61" si="24">E28</f>
        <v>0</v>
      </c>
      <c r="F61" s="194">
        <f t="shared" si="21"/>
        <v>220.4</v>
      </c>
      <c r="G61" s="142">
        <f t="shared" si="18"/>
        <v>220.4</v>
      </c>
      <c r="H61" s="91">
        <v>0</v>
      </c>
      <c r="I61" s="143">
        <f t="shared" si="19"/>
        <v>220.4</v>
      </c>
      <c r="K61" s="145"/>
    </row>
    <row r="62" spans="1:13" s="144" customFormat="1" ht="12" customHeight="1" x14ac:dyDescent="0.2">
      <c r="A62" s="281"/>
      <c r="B62" s="284"/>
      <c r="C62" s="77">
        <v>226</v>
      </c>
      <c r="D62" s="91">
        <v>0</v>
      </c>
      <c r="E62" s="91">
        <v>0</v>
      </c>
      <c r="F62" s="194">
        <f>ГОРЛЕС!L19/5/1000+ГОРЛЕС!L17/2/1000+(ГОРЛЕС!L15/5/1000)</f>
        <v>153.85</v>
      </c>
      <c r="G62" s="142">
        <f t="shared" si="18"/>
        <v>153.85</v>
      </c>
      <c r="H62" s="91">
        <v>0</v>
      </c>
      <c r="I62" s="143">
        <f t="shared" si="19"/>
        <v>153.85</v>
      </c>
      <c r="K62" s="145"/>
    </row>
    <row r="63" spans="1:13" s="144" customFormat="1" ht="12" customHeight="1" x14ac:dyDescent="0.2">
      <c r="A63" s="281"/>
      <c r="B63" s="284"/>
      <c r="C63" s="77">
        <v>290</v>
      </c>
      <c r="D63" s="91">
        <v>0</v>
      </c>
      <c r="E63" s="91">
        <f t="shared" ref="E63" si="25">E30</f>
        <v>0</v>
      </c>
      <c r="F63" s="194">
        <f t="shared" si="21"/>
        <v>0</v>
      </c>
      <c r="G63" s="142">
        <f t="shared" si="18"/>
        <v>0</v>
      </c>
      <c r="H63" s="91">
        <f>H19</f>
        <v>235.2</v>
      </c>
      <c r="I63" s="143">
        <f t="shared" si="19"/>
        <v>235.2</v>
      </c>
      <c r="K63" s="145"/>
    </row>
    <row r="64" spans="1:13" s="144" customFormat="1" ht="12" customHeight="1" x14ac:dyDescent="0.2">
      <c r="A64" s="282"/>
      <c r="B64" s="285"/>
      <c r="C64" s="77">
        <v>340</v>
      </c>
      <c r="D64" s="91">
        <v>0</v>
      </c>
      <c r="E64" s="158">
        <f>E20</f>
        <v>149.07999999999998</v>
      </c>
      <c r="F64" s="158">
        <f>F53</f>
        <v>8</v>
      </c>
      <c r="G64" s="142">
        <v>186.6</v>
      </c>
      <c r="H64" s="203">
        <v>0</v>
      </c>
      <c r="I64" s="142">
        <f t="shared" si="19"/>
        <v>186.6</v>
      </c>
      <c r="K64" s="145"/>
    </row>
    <row r="65" spans="1:13" s="144" customFormat="1" ht="12" customHeight="1" x14ac:dyDescent="0.2">
      <c r="A65" s="278"/>
      <c r="B65" s="279" t="s">
        <v>140</v>
      </c>
      <c r="C65" s="141">
        <v>900</v>
      </c>
      <c r="D65" s="142">
        <f>SUM(D66:D75)</f>
        <v>4142.8836458203996</v>
      </c>
      <c r="E65" s="142">
        <f t="shared" ref="E65:H65" si="26">SUM(E66:E75)</f>
        <v>745.39999999999986</v>
      </c>
      <c r="F65" s="193">
        <f t="shared" si="26"/>
        <v>16267.619559867508</v>
      </c>
      <c r="G65" s="142">
        <f t="shared" si="26"/>
        <v>21155.903205687915</v>
      </c>
      <c r="H65" s="201">
        <f t="shared" si="26"/>
        <v>1844.1100000000001</v>
      </c>
      <c r="I65" s="142">
        <f>SUM(I66:I75)</f>
        <v>23000.013205687916</v>
      </c>
      <c r="J65" s="145"/>
      <c r="K65" s="145">
        <f>D65+E65+F65+H65</f>
        <v>23000.013205687908</v>
      </c>
      <c r="L65" s="145"/>
    </row>
    <row r="66" spans="1:13" s="144" customFormat="1" ht="12" customHeight="1" x14ac:dyDescent="0.2">
      <c r="A66" s="278"/>
      <c r="B66" s="279"/>
      <c r="C66" s="77">
        <v>211</v>
      </c>
      <c r="D66" s="142">
        <f>D11+D22+D33+D44+D55</f>
        <v>3181.9447200000004</v>
      </c>
      <c r="E66" s="142">
        <f t="shared" ref="E66:F66" si="27">E11+E22+E33+E44+E55</f>
        <v>0</v>
      </c>
      <c r="F66" s="193">
        <f t="shared" si="27"/>
        <v>8650.6546399999988</v>
      </c>
      <c r="G66" s="142">
        <f>D66+E66+F66</f>
        <v>11832.59936</v>
      </c>
      <c r="H66" s="201">
        <f t="shared" ref="H66" si="28">H11+H22+H33+H44+H55</f>
        <v>0</v>
      </c>
      <c r="I66" s="157">
        <f>G66+H66</f>
        <v>11832.59936</v>
      </c>
      <c r="J66" s="145"/>
      <c r="K66" s="145"/>
    </row>
    <row r="67" spans="1:13" s="144" customFormat="1" ht="12" customHeight="1" x14ac:dyDescent="0.2">
      <c r="A67" s="278"/>
      <c r="B67" s="279"/>
      <c r="C67" s="77">
        <v>213</v>
      </c>
      <c r="D67" s="142">
        <f t="shared" ref="D67:F75" si="29">D12+D23+D34+D45+D56</f>
        <v>960.93892582039928</v>
      </c>
      <c r="E67" s="142">
        <f t="shared" si="29"/>
        <v>0</v>
      </c>
      <c r="F67" s="193">
        <f t="shared" si="29"/>
        <v>2612.4749198675117</v>
      </c>
      <c r="G67" s="142">
        <f t="shared" ref="G67:G75" si="30">D67+E67+F67</f>
        <v>3573.4138456879109</v>
      </c>
      <c r="H67" s="201">
        <f t="shared" ref="H67" si="31">H12+H23+H34+H45+H56</f>
        <v>0</v>
      </c>
      <c r="I67" s="157">
        <f t="shared" ref="I67:I74" si="32">G67+H67</f>
        <v>3573.4138456879109</v>
      </c>
      <c r="J67" s="145"/>
      <c r="K67" s="145"/>
    </row>
    <row r="68" spans="1:13" s="144" customFormat="1" ht="12" customHeight="1" x14ac:dyDescent="0.2">
      <c r="A68" s="278"/>
      <c r="B68" s="279"/>
      <c r="C68" s="77">
        <v>212</v>
      </c>
      <c r="D68" s="142">
        <f t="shared" si="29"/>
        <v>0</v>
      </c>
      <c r="E68" s="142">
        <f t="shared" si="29"/>
        <v>0</v>
      </c>
      <c r="F68" s="193">
        <f t="shared" si="29"/>
        <v>475</v>
      </c>
      <c r="G68" s="142">
        <f t="shared" si="30"/>
        <v>475</v>
      </c>
      <c r="H68" s="201">
        <f t="shared" ref="H68" si="33">H13+H24+H35+H46+H57</f>
        <v>0</v>
      </c>
      <c r="I68" s="157">
        <f t="shared" si="32"/>
        <v>475</v>
      </c>
      <c r="J68" s="145"/>
      <c r="K68" s="145"/>
    </row>
    <row r="69" spans="1:13" s="144" customFormat="1" ht="12" customHeight="1" x14ac:dyDescent="0.2">
      <c r="A69" s="278"/>
      <c r="B69" s="279"/>
      <c r="C69" s="77">
        <v>221</v>
      </c>
      <c r="D69" s="142">
        <f t="shared" si="29"/>
        <v>0</v>
      </c>
      <c r="E69" s="142">
        <f t="shared" si="29"/>
        <v>0</v>
      </c>
      <c r="F69" s="193">
        <f t="shared" si="29"/>
        <v>84.3</v>
      </c>
      <c r="G69" s="142">
        <f>D69+E69+F69</f>
        <v>84.3</v>
      </c>
      <c r="H69" s="201">
        <f t="shared" ref="H69" si="34">H14+H25+H36+H47+H58</f>
        <v>0</v>
      </c>
      <c r="I69" s="157">
        <f>G69+H69</f>
        <v>84.3</v>
      </c>
      <c r="J69" s="145"/>
      <c r="K69" s="145"/>
    </row>
    <row r="70" spans="1:13" s="144" customFormat="1" ht="12" customHeight="1" x14ac:dyDescent="0.2">
      <c r="A70" s="278"/>
      <c r="B70" s="279"/>
      <c r="C70" s="77">
        <v>222</v>
      </c>
      <c r="D70" s="142">
        <f t="shared" si="29"/>
        <v>0</v>
      </c>
      <c r="E70" s="142">
        <f t="shared" si="29"/>
        <v>0</v>
      </c>
      <c r="F70" s="193">
        <f>F15+F26+F37+F48+F59</f>
        <v>176.4</v>
      </c>
      <c r="G70" s="142">
        <f t="shared" si="30"/>
        <v>176.4</v>
      </c>
      <c r="H70" s="201">
        <f t="shared" ref="H70" si="35">H15+H26+H37+H48+H59</f>
        <v>0</v>
      </c>
      <c r="I70" s="157">
        <f t="shared" si="32"/>
        <v>176.4</v>
      </c>
      <c r="J70" s="145"/>
      <c r="K70" s="145"/>
    </row>
    <row r="71" spans="1:13" s="144" customFormat="1" ht="12" customHeight="1" x14ac:dyDescent="0.2">
      <c r="A71" s="278"/>
      <c r="B71" s="279"/>
      <c r="C71" s="77">
        <v>223</v>
      </c>
      <c r="D71" s="142">
        <f t="shared" si="29"/>
        <v>0</v>
      </c>
      <c r="E71" s="142">
        <f t="shared" si="29"/>
        <v>0</v>
      </c>
      <c r="F71" s="193">
        <f t="shared" si="29"/>
        <v>1421.39</v>
      </c>
      <c r="G71" s="142">
        <f t="shared" si="30"/>
        <v>1421.39</v>
      </c>
      <c r="H71" s="201">
        <f>H16+H27+H38+H49+H60</f>
        <v>668.11000000000013</v>
      </c>
      <c r="I71" s="157">
        <f t="shared" si="32"/>
        <v>2089.5</v>
      </c>
      <c r="J71" s="145"/>
      <c r="K71" s="145"/>
    </row>
    <row r="72" spans="1:13" s="144" customFormat="1" ht="12" customHeight="1" x14ac:dyDescent="0.2">
      <c r="A72" s="278"/>
      <c r="B72" s="279"/>
      <c r="C72" s="77">
        <v>225</v>
      </c>
      <c r="D72" s="142">
        <f t="shared" si="29"/>
        <v>0</v>
      </c>
      <c r="E72" s="142">
        <f t="shared" si="29"/>
        <v>0</v>
      </c>
      <c r="F72" s="142">
        <f t="shared" si="29"/>
        <v>1102</v>
      </c>
      <c r="G72" s="142">
        <f t="shared" si="30"/>
        <v>1102</v>
      </c>
      <c r="H72" s="201">
        <f t="shared" ref="H72" si="36">H17+H28+H39+H50+H61</f>
        <v>0</v>
      </c>
      <c r="I72" s="157">
        <f t="shared" si="32"/>
        <v>1102</v>
      </c>
      <c r="J72" s="145"/>
      <c r="K72" s="145"/>
    </row>
    <row r="73" spans="1:13" s="144" customFormat="1" ht="12" customHeight="1" x14ac:dyDescent="0.2">
      <c r="A73" s="278"/>
      <c r="B73" s="279"/>
      <c r="C73" s="77">
        <v>226</v>
      </c>
      <c r="D73" s="142">
        <f t="shared" si="29"/>
        <v>0</v>
      </c>
      <c r="E73" s="142">
        <f t="shared" si="29"/>
        <v>0</v>
      </c>
      <c r="F73" s="142">
        <f t="shared" si="29"/>
        <v>1705.3999999999996</v>
      </c>
      <c r="G73" s="142">
        <f t="shared" si="30"/>
        <v>1705.3999999999996</v>
      </c>
      <c r="H73" s="201">
        <f t="shared" ref="H73" si="37">H18+H29+H40+H51+H62</f>
        <v>0</v>
      </c>
      <c r="I73" s="157">
        <f t="shared" si="32"/>
        <v>1705.3999999999996</v>
      </c>
      <c r="J73" s="145"/>
      <c r="K73" s="145"/>
    </row>
    <row r="74" spans="1:13" s="144" customFormat="1" ht="12" customHeight="1" x14ac:dyDescent="0.2">
      <c r="A74" s="278"/>
      <c r="B74" s="279"/>
      <c r="C74" s="77">
        <v>290</v>
      </c>
      <c r="D74" s="142">
        <f t="shared" si="29"/>
        <v>0</v>
      </c>
      <c r="E74" s="142">
        <f t="shared" si="29"/>
        <v>0</v>
      </c>
      <c r="F74" s="142">
        <f t="shared" si="29"/>
        <v>0</v>
      </c>
      <c r="G74" s="142">
        <f t="shared" si="30"/>
        <v>0</v>
      </c>
      <c r="H74" s="201">
        <f>H19+H30+H41+H52+H63</f>
        <v>1176</v>
      </c>
      <c r="I74" s="157">
        <f t="shared" si="32"/>
        <v>1176</v>
      </c>
      <c r="J74" s="145"/>
      <c r="K74" s="145"/>
    </row>
    <row r="75" spans="1:13" s="144" customFormat="1" ht="12" customHeight="1" thickBot="1" x14ac:dyDescent="0.25">
      <c r="A75" s="289"/>
      <c r="B75" s="290"/>
      <c r="C75" s="146">
        <v>340</v>
      </c>
      <c r="D75" s="198">
        <f t="shared" si="29"/>
        <v>0</v>
      </c>
      <c r="E75" s="199">
        <f t="shared" si="29"/>
        <v>745.39999999999986</v>
      </c>
      <c r="F75" s="199">
        <f t="shared" si="29"/>
        <v>40</v>
      </c>
      <c r="G75" s="198">
        <f t="shared" si="30"/>
        <v>785.39999999999986</v>
      </c>
      <c r="H75" s="202">
        <f>H20+H313+H42+H53+H64</f>
        <v>0</v>
      </c>
      <c r="I75" s="200">
        <f>G75+H75</f>
        <v>785.39999999999986</v>
      </c>
      <c r="J75" s="145"/>
      <c r="K75" s="145"/>
      <c r="M75" s="145"/>
    </row>
    <row r="78" spans="1:13" x14ac:dyDescent="0.25">
      <c r="A78" s="210" t="s">
        <v>202</v>
      </c>
      <c r="B78" s="210"/>
      <c r="C78" s="210"/>
      <c r="D78" s="210"/>
      <c r="E78" s="228"/>
      <c r="F78" s="228"/>
      <c r="G78" s="219"/>
      <c r="H78" s="276" t="s">
        <v>198</v>
      </c>
      <c r="I78" s="276"/>
    </row>
    <row r="79" spans="1:13" x14ac:dyDescent="0.25">
      <c r="A79" s="64"/>
      <c r="B79" s="64"/>
      <c r="C79" s="219"/>
      <c r="D79" s="219"/>
      <c r="E79" s="277" t="s">
        <v>196</v>
      </c>
      <c r="F79" s="277"/>
      <c r="G79" s="219"/>
      <c r="H79" s="277" t="s">
        <v>197</v>
      </c>
      <c r="I79" s="277"/>
    </row>
    <row r="80" spans="1:13" x14ac:dyDescent="0.25">
      <c r="A80" s="288"/>
      <c r="B80" s="288"/>
      <c r="C80" s="288"/>
      <c r="D80" s="288"/>
      <c r="E80" s="288"/>
      <c r="F80" s="220"/>
      <c r="G80" s="219"/>
      <c r="H80" s="219"/>
      <c r="I80" s="219"/>
    </row>
    <row r="81" spans="1:6" x14ac:dyDescent="0.25">
      <c r="A81" s="288" t="s">
        <v>195</v>
      </c>
      <c r="B81" s="288"/>
      <c r="C81" s="288"/>
    </row>
    <row r="82" spans="1:6" x14ac:dyDescent="0.25">
      <c r="F82" s="159"/>
    </row>
  </sheetData>
  <mergeCells count="23">
    <mergeCell ref="A80:E80"/>
    <mergeCell ref="A81:C81"/>
    <mergeCell ref="A54:A64"/>
    <mergeCell ref="B54:B64"/>
    <mergeCell ref="A65:A75"/>
    <mergeCell ref="B65:B75"/>
    <mergeCell ref="A10:A20"/>
    <mergeCell ref="B10:B20"/>
    <mergeCell ref="G2:I2"/>
    <mergeCell ref="G3:I3"/>
    <mergeCell ref="F4:I4"/>
    <mergeCell ref="A6:I6"/>
    <mergeCell ref="A7:I7"/>
    <mergeCell ref="H78:I78"/>
    <mergeCell ref="E79:F79"/>
    <mergeCell ref="H79:I79"/>
    <mergeCell ref="A21:A31"/>
    <mergeCell ref="B21:B31"/>
    <mergeCell ref="A32:A42"/>
    <mergeCell ref="E78:F78"/>
    <mergeCell ref="B32:B42"/>
    <mergeCell ref="A43:A53"/>
    <mergeCell ref="B43:B53"/>
  </mergeCells>
  <pageMargins left="0.31496062992125984" right="0.11811023622047245" top="0.15748031496062992" bottom="0.35433070866141736" header="0" footer="0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0" workbookViewId="0">
      <selection activeCell="Q33" sqref="Q33"/>
    </sheetView>
  </sheetViews>
  <sheetFormatPr defaultRowHeight="15" x14ac:dyDescent="0.25"/>
  <cols>
    <col min="1" max="1" width="23" customWidth="1"/>
    <col min="2" max="2" width="10.42578125" customWidth="1"/>
    <col min="3" max="3" width="13.7109375" customWidth="1"/>
    <col min="4" max="4" width="9.7109375" customWidth="1"/>
    <col min="6" max="6" width="10" bestFit="1" customWidth="1"/>
    <col min="7" max="7" width="10.85546875" customWidth="1"/>
    <col min="8" max="8" width="9.7109375" customWidth="1"/>
    <col min="9" max="9" width="10.28515625" customWidth="1"/>
    <col min="10" max="10" width="10.5703125" customWidth="1"/>
    <col min="11" max="12" width="12.7109375" customWidth="1"/>
    <col min="13" max="13" width="12" customWidth="1"/>
    <col min="14" max="14" width="12.5703125" customWidth="1"/>
  </cols>
  <sheetData>
    <row r="1" spans="1:14" s="48" customFormat="1" ht="11.25" customHeight="1" x14ac:dyDescent="0.2">
      <c r="N1" s="49" t="s">
        <v>141</v>
      </c>
    </row>
    <row r="2" spans="1:14" s="48" customFormat="1" ht="11.25" customHeight="1" x14ac:dyDescent="0.2">
      <c r="K2" s="49"/>
      <c r="L2" s="250" t="s">
        <v>52</v>
      </c>
      <c r="M2" s="250"/>
      <c r="N2" s="250"/>
    </row>
    <row r="3" spans="1:14" s="48" customFormat="1" ht="11.25" customHeight="1" x14ac:dyDescent="0.2">
      <c r="K3" s="49"/>
      <c r="L3" s="250" t="s">
        <v>53</v>
      </c>
      <c r="M3" s="250"/>
      <c r="N3" s="250"/>
    </row>
    <row r="4" spans="1:14" s="48" customFormat="1" ht="11.25" customHeight="1" x14ac:dyDescent="0.2">
      <c r="K4" s="250" t="s">
        <v>54</v>
      </c>
      <c r="L4" s="250"/>
      <c r="M4" s="250"/>
      <c r="N4" s="250"/>
    </row>
    <row r="5" spans="1:14" s="48" customFormat="1" ht="11.25" customHeight="1" x14ac:dyDescent="0.2">
      <c r="J5" s="49"/>
      <c r="K5" s="49"/>
      <c r="L5" s="49"/>
      <c r="M5" s="49"/>
    </row>
    <row r="6" spans="1:14" s="70" customFormat="1" ht="12.75" x14ac:dyDescent="0.2">
      <c r="A6" s="287" t="s">
        <v>142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4" ht="7.5" customHeight="1" thickBot="1" x14ac:dyDescent="0.3">
      <c r="A7" s="96"/>
    </row>
    <row r="8" spans="1:14" s="75" customFormat="1" ht="11.25" x14ac:dyDescent="0.2">
      <c r="A8" s="291" t="s">
        <v>132</v>
      </c>
      <c r="B8" s="292" t="s">
        <v>143</v>
      </c>
      <c r="C8" s="292" t="s">
        <v>144</v>
      </c>
      <c r="D8" s="292" t="s">
        <v>145</v>
      </c>
      <c r="E8" s="292"/>
      <c r="F8" s="292" t="s">
        <v>135</v>
      </c>
      <c r="G8" s="292" t="s">
        <v>180</v>
      </c>
      <c r="H8" s="292" t="s">
        <v>146</v>
      </c>
      <c r="I8" s="292" t="s">
        <v>6</v>
      </c>
      <c r="J8" s="292" t="s">
        <v>137</v>
      </c>
      <c r="K8" s="292" t="s">
        <v>147</v>
      </c>
      <c r="L8" s="292"/>
      <c r="M8" s="292"/>
      <c r="N8" s="293" t="s">
        <v>181</v>
      </c>
    </row>
    <row r="9" spans="1:14" s="75" customFormat="1" ht="94.5" x14ac:dyDescent="0.2">
      <c r="A9" s="278"/>
      <c r="B9" s="279"/>
      <c r="C9" s="279"/>
      <c r="D9" s="68" t="s">
        <v>148</v>
      </c>
      <c r="E9" s="68" t="s">
        <v>134</v>
      </c>
      <c r="F9" s="279"/>
      <c r="G9" s="279"/>
      <c r="H9" s="279"/>
      <c r="I9" s="279"/>
      <c r="J9" s="279"/>
      <c r="K9" s="106" t="s">
        <v>149</v>
      </c>
      <c r="L9" s="106" t="s">
        <v>135</v>
      </c>
      <c r="M9" s="106" t="s">
        <v>150</v>
      </c>
      <c r="N9" s="294"/>
    </row>
    <row r="10" spans="1:14" s="75" customFormat="1" ht="12.75" customHeight="1" x14ac:dyDescent="0.2">
      <c r="A10" s="278"/>
      <c r="B10" s="279"/>
      <c r="C10" s="68" t="s">
        <v>151</v>
      </c>
      <c r="D10" s="68" t="s">
        <v>151</v>
      </c>
      <c r="E10" s="68" t="s">
        <v>151</v>
      </c>
      <c r="F10" s="68" t="s">
        <v>151</v>
      </c>
      <c r="G10" s="68" t="s">
        <v>151</v>
      </c>
      <c r="H10" s="68" t="s">
        <v>152</v>
      </c>
      <c r="I10" s="68" t="s">
        <v>151</v>
      </c>
      <c r="J10" s="68" t="s">
        <v>151</v>
      </c>
      <c r="K10" s="106" t="s">
        <v>153</v>
      </c>
      <c r="L10" s="106" t="s">
        <v>153</v>
      </c>
      <c r="M10" s="106" t="s">
        <v>154</v>
      </c>
      <c r="N10" s="294"/>
    </row>
    <row r="11" spans="1:14" s="75" customFormat="1" ht="17.25" customHeight="1" x14ac:dyDescent="0.2">
      <c r="A11" s="93">
        <v>1</v>
      </c>
      <c r="B11" s="68" t="s">
        <v>155</v>
      </c>
      <c r="C11" s="68">
        <v>2</v>
      </c>
      <c r="D11" s="68" t="s">
        <v>156</v>
      </c>
      <c r="E11" s="68" t="s">
        <v>157</v>
      </c>
      <c r="F11" s="68">
        <v>3</v>
      </c>
      <c r="G11" s="68">
        <v>4</v>
      </c>
      <c r="H11" s="68">
        <v>5</v>
      </c>
      <c r="I11" s="68">
        <v>6</v>
      </c>
      <c r="J11" s="68">
        <v>7</v>
      </c>
      <c r="K11" s="106" t="s">
        <v>158</v>
      </c>
      <c r="L11" s="106" t="s">
        <v>159</v>
      </c>
      <c r="M11" s="106" t="s">
        <v>160</v>
      </c>
      <c r="N11" s="148" t="s">
        <v>182</v>
      </c>
    </row>
    <row r="12" spans="1:14" s="75" customFormat="1" ht="67.5" x14ac:dyDescent="0.2">
      <c r="A12" s="105" t="s">
        <v>173</v>
      </c>
      <c r="B12" s="79" t="s">
        <v>177</v>
      </c>
      <c r="C12" s="192">
        <f>D12+E12</f>
        <v>1136.2258322576713</v>
      </c>
      <c r="D12" s="187">
        <f>'прил 3'!D10</f>
        <v>987.14583225767126</v>
      </c>
      <c r="E12" s="187">
        <f>'прил 3'!E10</f>
        <v>149.07999999999998</v>
      </c>
      <c r="F12" s="187">
        <f>'прил 3'!F10</f>
        <v>7747.7161035282634</v>
      </c>
      <c r="G12" s="187">
        <f>C12+F12</f>
        <v>8883.9419357859351</v>
      </c>
      <c r="H12" s="195">
        <v>15</v>
      </c>
      <c r="I12" s="187">
        <f>'прил 3'!H10</f>
        <v>368.822</v>
      </c>
      <c r="J12" s="187">
        <f t="shared" ref="J12:J17" si="0">G12+I12</f>
        <v>9252.7639357859352</v>
      </c>
      <c r="K12" s="187">
        <f>(C12/H12)*1000</f>
        <v>75748.388817178085</v>
      </c>
      <c r="L12" s="187">
        <f>(F12/H12)*1000</f>
        <v>516514.40690188418</v>
      </c>
      <c r="M12" s="187">
        <f>K12+L12</f>
        <v>592262.79571906221</v>
      </c>
      <c r="N12" s="160">
        <f>G12/J12</f>
        <v>0.96013926189410859</v>
      </c>
    </row>
    <row r="13" spans="1:14" s="75" customFormat="1" ht="27" customHeight="1" x14ac:dyDescent="0.2">
      <c r="A13" s="105" t="s">
        <v>170</v>
      </c>
      <c r="B13" s="79" t="s">
        <v>178</v>
      </c>
      <c r="C13" s="192">
        <f t="shared" ref="C13:C16" si="1">D13+E13</f>
        <v>938.01445339068209</v>
      </c>
      <c r="D13" s="187">
        <f>'прил 3'!D21</f>
        <v>788.93445339068205</v>
      </c>
      <c r="E13" s="187">
        <f>'прил 3'!E21</f>
        <v>149.07999999999998</v>
      </c>
      <c r="F13" s="187">
        <f>'прил 3'!F21</f>
        <v>2361.024528189344</v>
      </c>
      <c r="G13" s="187">
        <f>C13+F13</f>
        <v>3299.0389815800263</v>
      </c>
      <c r="H13" s="195">
        <v>0.97</v>
      </c>
      <c r="I13" s="187">
        <f>'прил 3'!H21</f>
        <v>368.822</v>
      </c>
      <c r="J13" s="187">
        <f t="shared" si="0"/>
        <v>3667.8609815800264</v>
      </c>
      <c r="K13" s="187">
        <f t="shared" ref="K13:K16" si="2">(C13/H13)*1000</f>
        <v>967025.20968111558</v>
      </c>
      <c r="L13" s="187">
        <f t="shared" ref="L13:L16" si="3">(F13/H13)*1000</f>
        <v>2434045.9053498395</v>
      </c>
      <c r="M13" s="187">
        <f>K13+L13</f>
        <v>3401071.1150309551</v>
      </c>
      <c r="N13" s="160">
        <f t="shared" ref="N13:N16" si="4">G13/J13</f>
        <v>0.89944493484016386</v>
      </c>
    </row>
    <row r="14" spans="1:14" s="70" customFormat="1" ht="90" x14ac:dyDescent="0.2">
      <c r="A14" s="105" t="s">
        <v>172</v>
      </c>
      <c r="B14" s="79" t="s">
        <v>178</v>
      </c>
      <c r="C14" s="192">
        <f t="shared" si="1"/>
        <v>938.01445339068209</v>
      </c>
      <c r="D14" s="187">
        <f>'прил 3'!D32</f>
        <v>788.93445339068205</v>
      </c>
      <c r="E14" s="187">
        <f>'прил 3'!E32</f>
        <v>149.07999999999998</v>
      </c>
      <c r="F14" s="187">
        <f>'прил 3'!F32</f>
        <v>1898.9271999802791</v>
      </c>
      <c r="G14" s="187">
        <f t="shared" ref="G14:G15" si="5">C14+F14</f>
        <v>2836.9416533709609</v>
      </c>
      <c r="H14" s="195">
        <v>77.5</v>
      </c>
      <c r="I14" s="187">
        <f>'прил 3'!H32</f>
        <v>368.822</v>
      </c>
      <c r="J14" s="187">
        <f t="shared" si="0"/>
        <v>3205.763653370961</v>
      </c>
      <c r="K14" s="187">
        <f t="shared" si="2"/>
        <v>12103.412301815253</v>
      </c>
      <c r="L14" s="187">
        <f t="shared" si="3"/>
        <v>24502.286451358439</v>
      </c>
      <c r="M14" s="187">
        <f t="shared" ref="M14:M16" si="6">K14+L14</f>
        <v>36605.698753173696</v>
      </c>
      <c r="N14" s="160">
        <f t="shared" si="4"/>
        <v>0.88495034572739872</v>
      </c>
    </row>
    <row r="15" spans="1:14" s="70" customFormat="1" ht="73.5" customHeight="1" x14ac:dyDescent="0.2">
      <c r="A15" s="105" t="s">
        <v>175</v>
      </c>
      <c r="B15" s="79" t="s">
        <v>177</v>
      </c>
      <c r="C15" s="192">
        <f t="shared" si="1"/>
        <v>938.01445339068209</v>
      </c>
      <c r="D15" s="187">
        <f>'прил 3'!D43</f>
        <v>788.93445339068205</v>
      </c>
      <c r="E15" s="187">
        <f>'прил 3'!E43</f>
        <v>149.07999999999998</v>
      </c>
      <c r="F15" s="187">
        <f>'прил 3'!F43</f>
        <v>1898.9271999802791</v>
      </c>
      <c r="G15" s="187">
        <f t="shared" si="5"/>
        <v>2836.9416533709609</v>
      </c>
      <c r="H15" s="195">
        <v>3</v>
      </c>
      <c r="I15" s="187">
        <f>'прил 3'!H43</f>
        <v>368.822</v>
      </c>
      <c r="J15" s="187">
        <f t="shared" si="0"/>
        <v>3205.763653370961</v>
      </c>
      <c r="K15" s="187">
        <f t="shared" si="2"/>
        <v>312671.48446356074</v>
      </c>
      <c r="L15" s="187">
        <f t="shared" si="3"/>
        <v>632975.73332675977</v>
      </c>
      <c r="M15" s="187">
        <f t="shared" si="6"/>
        <v>945647.21779032052</v>
      </c>
      <c r="N15" s="160">
        <f t="shared" si="4"/>
        <v>0.88495034572739872</v>
      </c>
    </row>
    <row r="16" spans="1:14" s="70" customFormat="1" ht="48.75" customHeight="1" x14ac:dyDescent="0.2">
      <c r="A16" s="225" t="s">
        <v>171</v>
      </c>
      <c r="B16" s="147" t="s">
        <v>179</v>
      </c>
      <c r="C16" s="192">
        <f t="shared" si="1"/>
        <v>938.01445339068209</v>
      </c>
      <c r="D16" s="196">
        <f>'прил 3'!D54</f>
        <v>788.93445339068205</v>
      </c>
      <c r="E16" s="196">
        <f>'прил 3'!E54</f>
        <v>149.07999999999998</v>
      </c>
      <c r="F16" s="196">
        <f>'прил 3'!F54</f>
        <v>2361.024528189344</v>
      </c>
      <c r="G16" s="187">
        <f>C16+F16</f>
        <v>3299.0389815800263</v>
      </c>
      <c r="H16" s="197">
        <v>50</v>
      </c>
      <c r="I16" s="187">
        <f>'прил 3'!H54</f>
        <v>368.822</v>
      </c>
      <c r="J16" s="187">
        <f t="shared" si="0"/>
        <v>3667.8609815800264</v>
      </c>
      <c r="K16" s="187">
        <f t="shared" si="2"/>
        <v>18760.289067813643</v>
      </c>
      <c r="L16" s="187">
        <f t="shared" si="3"/>
        <v>47220.49056378688</v>
      </c>
      <c r="M16" s="187">
        <f t="shared" si="6"/>
        <v>65980.779631600526</v>
      </c>
      <c r="N16" s="160">
        <f t="shared" si="4"/>
        <v>0.89944493484016386</v>
      </c>
    </row>
    <row r="17" spans="1:14" s="70" customFormat="1" ht="29.25" customHeight="1" thickBot="1" x14ac:dyDescent="0.25">
      <c r="A17" s="94" t="s">
        <v>161</v>
      </c>
      <c r="B17" s="95"/>
      <c r="C17" s="98">
        <f>D17+E17</f>
        <v>4888.2836458203992</v>
      </c>
      <c r="D17" s="98">
        <f>D14+D13+D12+D15+D16</f>
        <v>4142.8836458203996</v>
      </c>
      <c r="E17" s="98">
        <f>E14+E13+E12+E15+E16</f>
        <v>745.39999999999986</v>
      </c>
      <c r="F17" s="98">
        <f>F14+F13+F12+F15+F16</f>
        <v>16267.619559867509</v>
      </c>
      <c r="G17" s="98">
        <f>C17+F17</f>
        <v>21155.903205687908</v>
      </c>
      <c r="H17" s="99">
        <f>H12+H13+H14+H15+H16</f>
        <v>146.47</v>
      </c>
      <c r="I17" s="92">
        <f>I14+I13+I12+I15+I16</f>
        <v>1844.1100000000001</v>
      </c>
      <c r="J17" s="98">
        <f t="shared" si="0"/>
        <v>23000.013205687908</v>
      </c>
      <c r="K17" s="92">
        <f>C17/H17*1000</f>
        <v>33373.958119890762</v>
      </c>
      <c r="L17" s="92">
        <f>F17/H17*1000</f>
        <v>111064.51532646624</v>
      </c>
      <c r="M17" s="92">
        <f>K17+L17</f>
        <v>144438.47344635701</v>
      </c>
      <c r="N17" s="207">
        <f>G17/J17</f>
        <v>0.9198213503832271</v>
      </c>
    </row>
    <row r="18" spans="1:14" ht="15.75" hidden="1" x14ac:dyDescent="0.25">
      <c r="A18" s="100" t="s">
        <v>162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49">
        <f t="shared" ref="M18:M29" si="7">K18+L18</f>
        <v>0</v>
      </c>
    </row>
    <row r="19" spans="1:14" ht="15.75" hidden="1" x14ac:dyDescent="0.25">
      <c r="A19" s="101" t="s">
        <v>163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97">
        <f t="shared" si="7"/>
        <v>0</v>
      </c>
    </row>
    <row r="20" spans="1:14" ht="31.5" hidden="1" x14ac:dyDescent="0.25">
      <c r="A20" s="101" t="s">
        <v>164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97">
        <f t="shared" si="7"/>
        <v>0</v>
      </c>
    </row>
    <row r="21" spans="1:14" ht="15.75" hidden="1" x14ac:dyDescent="0.25">
      <c r="A21" s="101" t="s">
        <v>162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97">
        <f t="shared" si="7"/>
        <v>0</v>
      </c>
    </row>
    <row r="22" spans="1:14" ht="15.75" hidden="1" x14ac:dyDescent="0.25">
      <c r="A22" s="101" t="s">
        <v>163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97">
        <f t="shared" si="7"/>
        <v>0</v>
      </c>
    </row>
    <row r="23" spans="1:14" ht="31.5" hidden="1" x14ac:dyDescent="0.25">
      <c r="A23" s="101" t="s">
        <v>165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97">
        <f t="shared" si="7"/>
        <v>0</v>
      </c>
    </row>
    <row r="24" spans="1:14" ht="15.75" hidden="1" x14ac:dyDescent="0.25">
      <c r="A24" s="101" t="s">
        <v>162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97">
        <f t="shared" si="7"/>
        <v>0</v>
      </c>
    </row>
    <row r="25" spans="1:14" ht="15.75" hidden="1" x14ac:dyDescent="0.25">
      <c r="A25" s="101" t="s">
        <v>163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97">
        <f t="shared" si="7"/>
        <v>0</v>
      </c>
    </row>
    <row r="26" spans="1:14" ht="31.5" hidden="1" x14ac:dyDescent="0.25">
      <c r="A26" s="101" t="s">
        <v>166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97">
        <f t="shared" si="7"/>
        <v>0</v>
      </c>
    </row>
    <row r="27" spans="1:14" ht="15.75" hidden="1" x14ac:dyDescent="0.25">
      <c r="A27" s="101" t="s">
        <v>162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7">
        <f t="shared" si="7"/>
        <v>0</v>
      </c>
    </row>
    <row r="28" spans="1:14" ht="15.75" hidden="1" x14ac:dyDescent="0.25">
      <c r="A28" s="101" t="s">
        <v>163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97">
        <f t="shared" si="7"/>
        <v>0</v>
      </c>
    </row>
    <row r="29" spans="1:14" ht="11.25" hidden="1" customHeight="1" x14ac:dyDescent="0.25">
      <c r="A29" s="223" t="s">
        <v>167</v>
      </c>
      <c r="B29" s="223"/>
      <c r="C29" s="223"/>
      <c r="D29" s="223"/>
      <c r="E29" s="101"/>
      <c r="F29" s="101"/>
      <c r="G29" s="101"/>
      <c r="H29" s="101"/>
      <c r="I29" s="101"/>
      <c r="J29" s="101"/>
      <c r="K29" s="101"/>
      <c r="L29" s="101"/>
      <c r="M29" s="97">
        <f t="shared" si="7"/>
        <v>0</v>
      </c>
    </row>
    <row r="30" spans="1:14" ht="11.25" hidden="1" customHeight="1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2"/>
    </row>
    <row r="31" spans="1:14" ht="13.5" customHeight="1" x14ac:dyDescent="0.2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2"/>
    </row>
    <row r="32" spans="1:14" ht="13.5" customHeight="1" x14ac:dyDescent="0.25">
      <c r="A32" s="295" t="s">
        <v>202</v>
      </c>
      <c r="B32" s="295"/>
      <c r="C32" s="295"/>
      <c r="D32" s="221"/>
      <c r="E32" s="296"/>
      <c r="F32" s="296"/>
      <c r="G32" s="296"/>
      <c r="H32" s="221"/>
      <c r="I32" s="297" t="s">
        <v>198</v>
      </c>
      <c r="J32" s="297"/>
      <c r="K32" s="297"/>
      <c r="L32" s="221"/>
      <c r="M32" s="222"/>
    </row>
    <row r="33" spans="1:11" ht="15.75" x14ac:dyDescent="0.25">
      <c r="A33" s="298"/>
      <c r="B33" s="298"/>
      <c r="C33" s="298"/>
      <c r="D33" s="298"/>
      <c r="E33" s="229" t="s">
        <v>196</v>
      </c>
      <c r="F33" s="229"/>
      <c r="G33" s="229"/>
      <c r="H33" s="224"/>
      <c r="I33" s="229" t="s">
        <v>197</v>
      </c>
      <c r="J33" s="229"/>
      <c r="K33" s="229"/>
    </row>
    <row r="34" spans="1:11" x14ac:dyDescent="0.25">
      <c r="A34" s="206" t="s">
        <v>195</v>
      </c>
    </row>
    <row r="35" spans="1:11" x14ac:dyDescent="0.25">
      <c r="C35" s="56"/>
    </row>
  </sheetData>
  <mergeCells count="21">
    <mergeCell ref="A32:C32"/>
    <mergeCell ref="E32:G32"/>
    <mergeCell ref="I32:K32"/>
    <mergeCell ref="E33:G33"/>
    <mergeCell ref="I33:K33"/>
    <mergeCell ref="A33:D33"/>
    <mergeCell ref="L2:N2"/>
    <mergeCell ref="L3:N3"/>
    <mergeCell ref="K4:N4"/>
    <mergeCell ref="A6:M6"/>
    <mergeCell ref="A8:A10"/>
    <mergeCell ref="B8:B10"/>
    <mergeCell ref="C8:C9"/>
    <mergeCell ref="D8:E8"/>
    <mergeCell ref="F8:F9"/>
    <mergeCell ref="G8:G9"/>
    <mergeCell ref="N8:N10"/>
    <mergeCell ref="H8:H9"/>
    <mergeCell ref="I8:I9"/>
    <mergeCell ref="J8:J9"/>
    <mergeCell ref="K8:M8"/>
  </mergeCells>
  <pageMargins left="0.31496062992125984" right="0" top="0.55118110236220474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ЗП</vt:lpstr>
      <vt:lpstr>ГОРЛЕС</vt:lpstr>
      <vt:lpstr>прил 1</vt:lpstr>
      <vt:lpstr>прил 2</vt:lpstr>
      <vt:lpstr>прил 3</vt:lpstr>
      <vt:lpstr>прил 4</vt:lpstr>
      <vt:lpstr>Лист5</vt:lpstr>
      <vt:lpstr>'прил 1'!Область_печати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2018-04-20T06:49:37Z</dcterms:modified>
</cp:coreProperties>
</file>