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355" windowHeight="8400" activeTab="0"/>
  </bookViews>
  <sheets>
    <sheet name="Лист1" sheetId="1" r:id="rId1"/>
  </sheets>
  <definedNames>
    <definedName name="_xlnm.Print_Titles" localSheetId="0">'Лист1'!$7:$7</definedName>
  </definedNames>
  <calcPr fullCalcOnLoad="1"/>
</workbook>
</file>

<file path=xl/sharedStrings.xml><?xml version="1.0" encoding="utf-8"?>
<sst xmlns="http://schemas.openxmlformats.org/spreadsheetml/2006/main" count="423" uniqueCount="259">
  <si>
    <t>Показатели</t>
  </si>
  <si>
    <t>тыс.человек</t>
  </si>
  <si>
    <t xml:space="preserve">     в действующих ценах каждого года</t>
  </si>
  <si>
    <t>млн. рублей</t>
  </si>
  <si>
    <t xml:space="preserve">   - добыча полезных ископаемых</t>
  </si>
  <si>
    <t xml:space="preserve">   - обрабатывающие производства</t>
  </si>
  <si>
    <t xml:space="preserve">   - производство и распределение электроэнергии, газа и воды   </t>
  </si>
  <si>
    <t>%</t>
  </si>
  <si>
    <t>Производство основных видов промышленной продукции:</t>
  </si>
  <si>
    <t>млн.тонн</t>
  </si>
  <si>
    <t>млрд.куб.м</t>
  </si>
  <si>
    <t>Производство электроэнергии</t>
  </si>
  <si>
    <t>млрд.кВт. час.</t>
  </si>
  <si>
    <t>тыс.куб.м</t>
  </si>
  <si>
    <t>Производство пиломатериалов</t>
  </si>
  <si>
    <t>млн.руб.</t>
  </si>
  <si>
    <t>млн.рублей</t>
  </si>
  <si>
    <t>Производство сельскохозяйственной продукции (без учета населения):</t>
  </si>
  <si>
    <t>скот и птица (на убой в живом весе)</t>
  </si>
  <si>
    <t>тыс.тонн</t>
  </si>
  <si>
    <t>молоко</t>
  </si>
  <si>
    <t>яйцо</t>
  </si>
  <si>
    <t>млн.штук</t>
  </si>
  <si>
    <t>картофель</t>
  </si>
  <si>
    <t>овощи</t>
  </si>
  <si>
    <t>поголовье скота</t>
  </si>
  <si>
    <t>тыс.голов</t>
  </si>
  <si>
    <t xml:space="preserve">Финансы: </t>
  </si>
  <si>
    <t>Доходы  бюджета муниципального образования</t>
  </si>
  <si>
    <t>Расходы  бюджета муниципального образования</t>
  </si>
  <si>
    <t>тыс.кв.м</t>
  </si>
  <si>
    <t>Общеобразовательные школы</t>
  </si>
  <si>
    <t>уч. мест</t>
  </si>
  <si>
    <t>Дошкольные образовательные учреждения</t>
  </si>
  <si>
    <t xml:space="preserve">мест </t>
  </si>
  <si>
    <t>Поликлиники</t>
  </si>
  <si>
    <t>посещений в смену</t>
  </si>
  <si>
    <t>Больницы</t>
  </si>
  <si>
    <t>койко/мест</t>
  </si>
  <si>
    <t>Уровень жизни населения:</t>
  </si>
  <si>
    <t>рублей</t>
  </si>
  <si>
    <t>Потребительские расходы на душу населения</t>
  </si>
  <si>
    <t>Средний размер дохода пенсионера (на конец года отчетного периода)</t>
  </si>
  <si>
    <t xml:space="preserve">Соотношение среднемесячного дохода  и прожиточного минимума пенсионера </t>
  </si>
  <si>
    <t>тыс.рублей</t>
  </si>
  <si>
    <t>Реальные располагаемые денежные доходы неселения</t>
  </si>
  <si>
    <t>Конструкции и детали железобетонные</t>
  </si>
  <si>
    <t>Добыча нефти, включая газовый конденсат</t>
  </si>
  <si>
    <t>Жилые дома (общая площадь квартир)</t>
  </si>
  <si>
    <t>единиц</t>
  </si>
  <si>
    <t>Установленный стандарт уровня платежей населения за ЖКУ</t>
  </si>
  <si>
    <t>Общая дебиторская задолженность ЖКК</t>
  </si>
  <si>
    <t>Доля задолженности населения в общем объеме дебиторской задолженности ЖКК</t>
  </si>
  <si>
    <t>Среднесписочная численность работников (без внешних совместителей) по полному кругу организаций</t>
  </si>
  <si>
    <t>Среднесписочная численность работников (без внешних совместителей) по организациям, не относящимся к субъектам малого предпринимательства</t>
  </si>
  <si>
    <t>Индекс физического объема</t>
  </si>
  <si>
    <t>Индекс промышленного производства</t>
  </si>
  <si>
    <t>в % к предыдущему году</t>
  </si>
  <si>
    <t>Индекс производства</t>
  </si>
  <si>
    <t>% к предыдущему году в сопоставимых ценах</t>
  </si>
  <si>
    <t>тыс. единиц</t>
  </si>
  <si>
    <t>хлеб и хлебобулочные изделия</t>
  </si>
  <si>
    <t>колбасные изделия</t>
  </si>
  <si>
    <t>тонн</t>
  </si>
  <si>
    <t>в том числе: безвозмездные поступления от других бюджетов бюджетной системы Российской Федерации</t>
  </si>
  <si>
    <t xml:space="preserve">Объем предоставленных субсидий на оплату жилого помещения и коммунальных услуг </t>
  </si>
  <si>
    <t>Миграционный прирост (убыль) населения</t>
  </si>
  <si>
    <t>Производство местной  пищевой продукции:</t>
  </si>
  <si>
    <t>Демография:</t>
  </si>
  <si>
    <t>Труд и занятость населения:</t>
  </si>
  <si>
    <t>молоко прошедшее промышленную обработку</t>
  </si>
  <si>
    <t>Жилищно- коммунальный комплекс:</t>
  </si>
  <si>
    <t>Объем отгруженных товаров собственного производства, выполненных работ и услуг собственными силами (по крупным и средним) производителей промышленной продукции</t>
  </si>
  <si>
    <t>Объем инвестиций в основной капитал</t>
  </si>
  <si>
    <t xml:space="preserve">Объем работ, выполненных по виду деятельности "Строительство" </t>
  </si>
  <si>
    <t>Объем реализации платных услуг на 1 жителя</t>
  </si>
  <si>
    <t xml:space="preserve">Количество транспортных средств в собственности граждан, зарегистрированных в установленном порядке, состоящих на учете </t>
  </si>
  <si>
    <t>единицы измерения</t>
  </si>
  <si>
    <t>Динамика основных показателей</t>
  </si>
  <si>
    <t>человек</t>
  </si>
  <si>
    <t>Число организаций, оказывающих жилищно-коммунальные услуги, из них:</t>
  </si>
  <si>
    <t>число организаций на рынке жилищных услуг</t>
  </si>
  <si>
    <t>число организаций, оказывающих коммунальные услуги</t>
  </si>
  <si>
    <t>в том числе: частной формы собственности</t>
  </si>
  <si>
    <t xml:space="preserve">  январь-март    2009 года</t>
  </si>
  <si>
    <t>Индекс  производства</t>
  </si>
  <si>
    <t>х</t>
  </si>
  <si>
    <t xml:space="preserve">из них численность официально зарегистрированных безработных </t>
  </si>
  <si>
    <t>Численность граждан, обратившихся за содействием в поиске подходящей работы в органы службы занятости населения (на конец периода)</t>
  </si>
  <si>
    <t>Фактический уровень возмещения населением затрат за предоставление жилищно-коммунальных услуг</t>
  </si>
  <si>
    <t>Удельный вес общей площади жилых помещений, оборудованной одновременно водопроводом, водоотведением (канализацией), отоплением, горячим водоснабжением, газом или напольными плитамик общей площади жилых помещений</t>
  </si>
  <si>
    <t>Удельный вес площади оборудованной водопроводом</t>
  </si>
  <si>
    <t>Удельный вес площади оборудованной канализацией</t>
  </si>
  <si>
    <t>Удельный вес площади оборудованной отоплением</t>
  </si>
  <si>
    <t>Удельный вес площади оборудованной ваннами (душем)</t>
  </si>
  <si>
    <t>Удельный вес площади оборудованной газом</t>
  </si>
  <si>
    <t>Удельный вес площади оборудованной напольными электрическими плитами</t>
  </si>
  <si>
    <t>Число семей, получавших субсидии на оплату жилого помещения и коммунальных услуг (на конец отчетного периода)</t>
  </si>
  <si>
    <t>Численность лиц, проживающих в семьях, получавших субсидии на оплату жилого помещения и коммунальных услуг (на конец отчетного периода)</t>
  </si>
  <si>
    <t>Удельный вес площади оборудованной горячим водоснабжением</t>
  </si>
  <si>
    <t>в т.ч. просроченная</t>
  </si>
  <si>
    <t>Производство древесины необработанной</t>
  </si>
  <si>
    <t>№ п/п</t>
  </si>
  <si>
    <t>1.</t>
  </si>
  <si>
    <t>2.</t>
  </si>
  <si>
    <t>1.1.</t>
  </si>
  <si>
    <t>1.2.</t>
  </si>
  <si>
    <t>1.3.</t>
  </si>
  <si>
    <t>2.1</t>
  </si>
  <si>
    <t>2.2</t>
  </si>
  <si>
    <t>2.3</t>
  </si>
  <si>
    <t>2.3.1</t>
  </si>
  <si>
    <t>2.4</t>
  </si>
  <si>
    <t>3.</t>
  </si>
  <si>
    <t>3.1</t>
  </si>
  <si>
    <t>3.2</t>
  </si>
  <si>
    <t>3.3</t>
  </si>
  <si>
    <t>3.4</t>
  </si>
  <si>
    <t>3.5</t>
  </si>
  <si>
    <t>3.6</t>
  </si>
  <si>
    <t>3.7</t>
  </si>
  <si>
    <t>4.</t>
  </si>
  <si>
    <t>4.1</t>
  </si>
  <si>
    <t>4.2</t>
  </si>
  <si>
    <t>4.3</t>
  </si>
  <si>
    <t>4.4</t>
  </si>
  <si>
    <t>4.5</t>
  </si>
  <si>
    <t>4.6</t>
  </si>
  <si>
    <t>4.7</t>
  </si>
  <si>
    <t>5.</t>
  </si>
  <si>
    <t>5.1</t>
  </si>
  <si>
    <t>6.</t>
  </si>
  <si>
    <t>6.1</t>
  </si>
  <si>
    <t>7.</t>
  </si>
  <si>
    <t>7.1</t>
  </si>
  <si>
    <t>8.</t>
  </si>
  <si>
    <t>8.1</t>
  </si>
  <si>
    <t>9.</t>
  </si>
  <si>
    <t>9.1</t>
  </si>
  <si>
    <t>9.2</t>
  </si>
  <si>
    <t>9.3</t>
  </si>
  <si>
    <t>9.4</t>
  </si>
  <si>
    <t>9.5</t>
  </si>
  <si>
    <t>9.6</t>
  </si>
  <si>
    <t>9.7</t>
  </si>
  <si>
    <t>10.</t>
  </si>
  <si>
    <t>10.1</t>
  </si>
  <si>
    <t>10.2</t>
  </si>
  <si>
    <t>10.3</t>
  </si>
  <si>
    <t>12.</t>
  </si>
  <si>
    <t>12.1</t>
  </si>
  <si>
    <t>12.2</t>
  </si>
  <si>
    <t>12.3</t>
  </si>
  <si>
    <t>12.4</t>
  </si>
  <si>
    <t>12.5</t>
  </si>
  <si>
    <t>12.5.1</t>
  </si>
  <si>
    <t>12.6</t>
  </si>
  <si>
    <t>12.6.1</t>
  </si>
  <si>
    <t>13.</t>
  </si>
  <si>
    <t>13.1</t>
  </si>
  <si>
    <t>13.2</t>
  </si>
  <si>
    <t>13.3</t>
  </si>
  <si>
    <t>13.4</t>
  </si>
  <si>
    <t>13.5</t>
  </si>
  <si>
    <t>14.</t>
  </si>
  <si>
    <t>14.1</t>
  </si>
  <si>
    <t>14.1.1</t>
  </si>
  <si>
    <t>14.1.2</t>
  </si>
  <si>
    <t>14.2.1</t>
  </si>
  <si>
    <t>14.2.2</t>
  </si>
  <si>
    <t>14.3</t>
  </si>
  <si>
    <t>14.4</t>
  </si>
  <si>
    <t>14.5</t>
  </si>
  <si>
    <t>14.6</t>
  </si>
  <si>
    <t>14.7</t>
  </si>
  <si>
    <t>14.8</t>
  </si>
  <si>
    <t>14.9</t>
  </si>
  <si>
    <t>14.10</t>
  </si>
  <si>
    <t>14.11</t>
  </si>
  <si>
    <t>14.12</t>
  </si>
  <si>
    <t>14.13</t>
  </si>
  <si>
    <t>14.14</t>
  </si>
  <si>
    <t>14.15</t>
  </si>
  <si>
    <t>14.16</t>
  </si>
  <si>
    <t>14.17</t>
  </si>
  <si>
    <t>15.</t>
  </si>
  <si>
    <t>15.1</t>
  </si>
  <si>
    <t>15.2</t>
  </si>
  <si>
    <t>15.3</t>
  </si>
  <si>
    <t>15.4</t>
  </si>
  <si>
    <t>15.5</t>
  </si>
  <si>
    <t>15.6</t>
  </si>
  <si>
    <t>15.7</t>
  </si>
  <si>
    <t>15.8</t>
  </si>
  <si>
    <t>15.9</t>
  </si>
  <si>
    <t xml:space="preserve">Уровень зарегистрированной безработицы (на конец периода) </t>
  </si>
  <si>
    <t>Вновь созданные рабочие места, в том числе</t>
  </si>
  <si>
    <t xml:space="preserve">        постоянные</t>
  </si>
  <si>
    <t xml:space="preserve">        временные</t>
  </si>
  <si>
    <t>2.5</t>
  </si>
  <si>
    <t>2.5.1</t>
  </si>
  <si>
    <t>2.5.2</t>
  </si>
  <si>
    <t>4.8</t>
  </si>
  <si>
    <t>4.9</t>
  </si>
  <si>
    <t>4.10</t>
  </si>
  <si>
    <t>4.11</t>
  </si>
  <si>
    <t>4.12</t>
  </si>
  <si>
    <t>4.13</t>
  </si>
  <si>
    <t>4.14</t>
  </si>
  <si>
    <t>Производство блоков дверных</t>
  </si>
  <si>
    <t>Производство блоков оконных</t>
  </si>
  <si>
    <t>Производство щепы технологической</t>
  </si>
  <si>
    <t>Производство плиты древесностружечной (ДСП)</t>
  </si>
  <si>
    <t>Производство плиты древесноволокнистой (МДФ)</t>
  </si>
  <si>
    <t>Производство шпонированного бруса ЛВЛ</t>
  </si>
  <si>
    <t>Производство фанеры хвойной</t>
  </si>
  <si>
    <t>Производство деревянных домов заводского изготовления</t>
  </si>
  <si>
    <r>
      <t xml:space="preserve">  </t>
    </r>
    <r>
      <rPr>
        <vertAlign val="superscript"/>
        <sz val="14"/>
        <rFont val="Times New Roman"/>
        <family val="1"/>
      </rPr>
      <t xml:space="preserve">1 </t>
    </r>
    <r>
      <rPr>
        <sz val="14"/>
        <rFont val="Times New Roman"/>
        <family val="1"/>
      </rPr>
      <t>Темпы изменения , указываются для тех показателей, которые не являются относительными; для тех показателей с которыми не указаны индексы физического объема.</t>
    </r>
  </si>
  <si>
    <r>
      <t xml:space="preserve">    3 </t>
    </r>
    <r>
      <rPr>
        <sz val="14"/>
        <rFont val="Times New Roman Cyr"/>
        <family val="0"/>
      </rPr>
      <t>- для муниципальных районов</t>
    </r>
  </si>
  <si>
    <t>тыс.усл.кв.м</t>
  </si>
  <si>
    <t>тыс.пл.куб.м</t>
  </si>
  <si>
    <t>усл.куб.м</t>
  </si>
  <si>
    <t>Вывозка древесины</t>
  </si>
  <si>
    <t>4.15</t>
  </si>
  <si>
    <t>Численность населения (среднегодовая)</t>
  </si>
  <si>
    <t xml:space="preserve">Добыча газа природного и попутного     </t>
  </si>
  <si>
    <t>январь-март 2012 года</t>
  </si>
  <si>
    <t>Темп роста  января-марта 2012 года к январю-марту 2011 году, %1</t>
  </si>
  <si>
    <t xml:space="preserve"> 2012 год</t>
  </si>
  <si>
    <t>январь-март 2013 года</t>
  </si>
  <si>
    <t>Темп роста  января-марта 2013 года к январю-марту 2012 году, %1</t>
  </si>
  <si>
    <t>Темп роста  2014 года к 2013 году, %1</t>
  </si>
  <si>
    <t>Оценка 2014 год</t>
  </si>
  <si>
    <t>Темп роста  января-марта 2014 года к январю-марту 2013 году, %1</t>
  </si>
  <si>
    <t>Темп роста 2013 года к 2012 году, %1</t>
  </si>
  <si>
    <t xml:space="preserve"> 2013 год</t>
  </si>
  <si>
    <t>январь-март 2014 года</t>
  </si>
  <si>
    <r>
      <t xml:space="preserve">   2 </t>
    </r>
    <r>
      <rPr>
        <sz val="14"/>
        <rFont val="Times New Roman Cyr"/>
        <family val="0"/>
      </rPr>
      <t>- по состоянию на 01.01.2014</t>
    </r>
  </si>
  <si>
    <r>
      <t xml:space="preserve">Темп роста 
января-марта    2009 года 
к январю- марту    2008 года, % </t>
    </r>
    <r>
      <rPr>
        <vertAlign val="superscript"/>
        <sz val="16"/>
        <rFont val="Times New Roman Cyr"/>
        <family val="1"/>
      </rPr>
      <t>1</t>
    </r>
  </si>
  <si>
    <r>
      <t>Темп роста 2012 года к   2011 году</t>
    </r>
    <r>
      <rPr>
        <vertAlign val="superscript"/>
        <sz val="16"/>
        <rFont val="Times New Roman Cyr"/>
        <family val="1"/>
      </rPr>
      <t>1</t>
    </r>
    <r>
      <rPr>
        <sz val="16"/>
        <rFont val="Times New Roman Cyr"/>
        <family val="1"/>
      </rPr>
      <t>, %</t>
    </r>
    <r>
      <rPr>
        <vertAlign val="superscript"/>
        <sz val="16"/>
        <rFont val="Times New Roman Cyr"/>
        <family val="1"/>
      </rPr>
      <t xml:space="preserve"> </t>
    </r>
  </si>
  <si>
    <r>
      <t>Естествен</t>
    </r>
    <r>
      <rPr>
        <sz val="16"/>
        <rFont val="Times New Roman Cyr"/>
        <family val="0"/>
      </rPr>
      <t>ный прирост (убыль)</t>
    </r>
    <r>
      <rPr>
        <sz val="16"/>
        <rFont val="Times New Roman Cyr"/>
        <family val="1"/>
      </rPr>
      <t xml:space="preserve"> населения</t>
    </r>
  </si>
  <si>
    <r>
      <t xml:space="preserve">Ввод </t>
    </r>
    <r>
      <rPr>
        <b/>
        <sz val="16"/>
        <rFont val="Times New Roman Cyr"/>
        <family val="0"/>
      </rPr>
      <t>в действие жилых домов</t>
    </r>
    <r>
      <rPr>
        <b/>
        <sz val="16"/>
        <rFont val="Times New Roman Cyr"/>
        <family val="1"/>
      </rPr>
      <t xml:space="preserve"> и объектов соцкультбыта:</t>
    </r>
  </si>
  <si>
    <t>Оборот розничной торговли на 1 жителя</t>
  </si>
  <si>
    <t>Среднедушевые  денежные доходы населения</t>
  </si>
  <si>
    <t>Среднемесячная номинальная начисленная заработная плата одного работника по крупным и средним предприятиям</t>
  </si>
  <si>
    <t>социально-экономического развития МО город Югорск за январь-март 2014 года</t>
  </si>
  <si>
    <t>в 2,9 р.</t>
  </si>
  <si>
    <t>в 2,2 р.</t>
  </si>
  <si>
    <t>в 6,4 р.</t>
  </si>
  <si>
    <t>в 58,1</t>
  </si>
  <si>
    <t>Прибыль прибыльных предприятий**</t>
  </si>
  <si>
    <t>Кредиторская задолженность**</t>
  </si>
  <si>
    <t>Дебиторская задолженность**</t>
  </si>
  <si>
    <t>** Информация предоставлена на 01.02.2014</t>
  </si>
  <si>
    <t>в 108,8 р.</t>
  </si>
  <si>
    <t>в 2,3 р.</t>
  </si>
  <si>
    <t>Оборот розничной торговли*</t>
  </si>
  <si>
    <t>Объем реализации платных услуг*</t>
  </si>
  <si>
    <t>* В связи с отсутствием статистических данных по полному кругу предприятий и организаций, включая субъекты малого предпринимательства, в таблице указана предварительная оценка за 2013 год и 1 квартал 2014 года..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</si>
</sst>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0.0"/>
    <numFmt numFmtId="170" formatCode="0.00000"/>
    <numFmt numFmtId="171" formatCode="0.0000"/>
    <numFmt numFmtId="172" formatCode="0.000"/>
    <numFmt numFmtId="173" formatCode="#,##0.0"/>
    <numFmt numFmtId="174" formatCode="0.0000000"/>
    <numFmt numFmtId="175" formatCode="0.000000"/>
    <numFmt numFmtId="176" formatCode="0.0%"/>
  </numFmts>
  <fonts count="54">
    <font>
      <sz val="10"/>
      <name val="Arial Cyr"/>
      <family val="0"/>
    </font>
    <font>
      <sz val="10"/>
      <name val="Times New Roman Cyr"/>
      <family val="1"/>
    </font>
    <font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 Cyr"/>
      <family val="1"/>
    </font>
    <font>
      <sz val="10"/>
      <color indexed="12"/>
      <name val="Times New Roman Cyr"/>
      <family val="1"/>
    </font>
    <font>
      <sz val="16"/>
      <color indexed="12"/>
      <name val="Times New Roman Cyr"/>
      <family val="1"/>
    </font>
    <font>
      <b/>
      <sz val="16"/>
      <color indexed="10"/>
      <name val="Times New Roman Cyr"/>
      <family val="0"/>
    </font>
    <font>
      <b/>
      <sz val="16"/>
      <name val="Times New Roman Cyr"/>
      <family val="1"/>
    </font>
    <font>
      <sz val="16"/>
      <name val="Arial Cyr"/>
      <family val="0"/>
    </font>
    <font>
      <sz val="16"/>
      <name val="Times New Roman Cyr"/>
      <family val="1"/>
    </font>
    <font>
      <sz val="14"/>
      <name val="Times New Roman"/>
      <family val="1"/>
    </font>
    <font>
      <vertAlign val="superscript"/>
      <sz val="14"/>
      <name val="Times New Roman Cyr"/>
      <family val="1"/>
    </font>
    <font>
      <vertAlign val="superscript"/>
      <sz val="14"/>
      <name val="Times New Roman"/>
      <family val="1"/>
    </font>
    <font>
      <b/>
      <sz val="18"/>
      <name val="Times New Roman Cyr"/>
      <family val="1"/>
    </font>
    <font>
      <sz val="16"/>
      <name val="Times New Roman"/>
      <family val="1"/>
    </font>
    <font>
      <vertAlign val="superscript"/>
      <sz val="16"/>
      <name val="Times New Roman Cyr"/>
      <family val="1"/>
    </font>
    <font>
      <sz val="16"/>
      <color indexed="8"/>
      <name val="Times New Roman"/>
      <family val="1"/>
    </font>
    <font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Alignment="1">
      <alignment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49" fontId="11" fillId="0" borderId="10" xfId="0" applyNumberFormat="1" applyFont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0" xfId="0" applyFont="1" applyBorder="1" applyAlignment="1">
      <alignment/>
    </xf>
    <xf numFmtId="49" fontId="11" fillId="0" borderId="10" xfId="0" applyNumberFormat="1" applyFont="1" applyBorder="1" applyAlignment="1">
      <alignment horizontal="center"/>
    </xf>
    <xf numFmtId="0" fontId="16" fillId="0" borderId="10" xfId="0" applyFont="1" applyFill="1" applyBorder="1" applyAlignment="1">
      <alignment vertical="top" wrapText="1"/>
    </xf>
    <xf numFmtId="0" fontId="11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top" wrapText="1"/>
    </xf>
    <xf numFmtId="0" fontId="16" fillId="0" borderId="10" xfId="0" applyFont="1" applyFill="1" applyBorder="1" applyAlignment="1">
      <alignment horizontal="center" vertical="top" wrapText="1"/>
    </xf>
    <xf numFmtId="0" fontId="18" fillId="32" borderId="10" xfId="0" applyFont="1" applyFill="1" applyBorder="1" applyAlignment="1" applyProtection="1">
      <alignment horizontal="left" vertical="center" wrapText="1" indent="1"/>
      <protection/>
    </xf>
    <xf numFmtId="0" fontId="18" fillId="32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>
      <alignment vertical="top" wrapText="1"/>
    </xf>
    <xf numFmtId="0" fontId="11" fillId="0" borderId="10" xfId="0" applyFont="1" applyBorder="1" applyAlignment="1">
      <alignment horizontal="center" vertical="top" wrapText="1"/>
    </xf>
    <xf numFmtId="0" fontId="11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horizontal="center" vertical="top" wrapText="1"/>
    </xf>
    <xf numFmtId="0" fontId="16" fillId="0" borderId="10" xfId="0" applyFont="1" applyFill="1" applyBorder="1" applyAlignment="1">
      <alignment wrapText="1"/>
    </xf>
    <xf numFmtId="0" fontId="19" fillId="0" borderId="10" xfId="0" applyFont="1" applyFill="1" applyBorder="1" applyAlignment="1">
      <alignment wrapText="1"/>
    </xf>
    <xf numFmtId="0" fontId="18" fillId="0" borderId="10" xfId="0" applyFont="1" applyFill="1" applyBorder="1" applyAlignment="1">
      <alignment wrapText="1"/>
    </xf>
    <xf numFmtId="0" fontId="16" fillId="0" borderId="10" xfId="0" applyFont="1" applyBorder="1" applyAlignment="1">
      <alignment wrapText="1"/>
    </xf>
    <xf numFmtId="0" fontId="16" fillId="0" borderId="10" xfId="0" applyFont="1" applyFill="1" applyBorder="1" applyAlignment="1">
      <alignment horizontal="left" wrapText="1"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6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6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16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169" fontId="5" fillId="0" borderId="10" xfId="53" applyNumberFormat="1" applyFont="1" applyBorder="1" applyAlignment="1">
      <alignment horizontal="center" vertical="center" wrapText="1"/>
      <protection/>
    </xf>
    <xf numFmtId="169" fontId="5" fillId="0" borderId="10" xfId="53" applyNumberFormat="1" applyFont="1" applyBorder="1" applyAlignment="1">
      <alignment horizontal="center" vertical="center"/>
      <protection/>
    </xf>
    <xf numFmtId="49" fontId="11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169" fontId="5" fillId="0" borderId="10" xfId="0" applyNumberFormat="1" applyFont="1" applyFill="1" applyBorder="1" applyAlignment="1">
      <alignment horizontal="center" vertical="center"/>
    </xf>
    <xf numFmtId="169" fontId="5" fillId="0" borderId="10" xfId="0" applyNumberFormat="1" applyFont="1" applyFill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center" vertical="center"/>
    </xf>
    <xf numFmtId="173" fontId="5" fillId="0" borderId="10" xfId="0" applyNumberFormat="1" applyFont="1" applyBorder="1" applyAlignment="1">
      <alignment horizontal="center" vertical="center" wrapText="1"/>
    </xf>
    <xf numFmtId="173" fontId="5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169" fontId="5" fillId="0" borderId="10" xfId="0" applyNumberFormat="1" applyFont="1" applyBorder="1" applyAlignment="1">
      <alignment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/>
    </xf>
    <xf numFmtId="0" fontId="5" fillId="34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top" wrapText="1"/>
    </xf>
    <xf numFmtId="176" fontId="5" fillId="0" borderId="10" xfId="53" applyNumberFormat="1" applyFont="1" applyBorder="1" applyAlignment="1">
      <alignment horizontal="center" vertical="top"/>
      <protection/>
    </xf>
    <xf numFmtId="0" fontId="5" fillId="0" borderId="10" xfId="0" applyFont="1" applyBorder="1" applyAlignment="1">
      <alignment horizontal="center" vertical="top"/>
    </xf>
    <xf numFmtId="169" fontId="5" fillId="0" borderId="10" xfId="0" applyNumberFormat="1" applyFont="1" applyBorder="1" applyAlignment="1">
      <alignment horizontal="center" vertical="top" wrapText="1"/>
    </xf>
    <xf numFmtId="169" fontId="5" fillId="0" borderId="10" xfId="0" applyNumberFormat="1" applyFont="1" applyBorder="1" applyAlignment="1">
      <alignment horizontal="center" vertical="top"/>
    </xf>
    <xf numFmtId="2" fontId="5" fillId="0" borderId="10" xfId="0" applyNumberFormat="1" applyFont="1" applyBorder="1" applyAlignment="1">
      <alignment horizontal="center" vertical="top" wrapText="1"/>
    </xf>
    <xf numFmtId="169" fontId="5" fillId="34" borderId="10" xfId="0" applyNumberFormat="1" applyFont="1" applyFill="1" applyBorder="1" applyAlignment="1">
      <alignment horizontal="center" vertical="center" wrapText="1"/>
    </xf>
    <xf numFmtId="169" fontId="5" fillId="34" borderId="10" xfId="0" applyNumberFormat="1" applyFont="1" applyFill="1" applyBorder="1" applyAlignment="1">
      <alignment horizontal="center"/>
    </xf>
    <xf numFmtId="0" fontId="9" fillId="0" borderId="12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9" fillId="0" borderId="12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1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3"/>
  <sheetViews>
    <sheetView showGridLines="0" tabSelected="1" zoomScale="70" zoomScaleNormal="70" zoomScaleSheetLayoutView="75" zoomScalePageLayoutView="70" workbookViewId="0" topLeftCell="B1">
      <pane ySplit="3615" topLeftCell="A66" activePane="bottomLeft" state="split"/>
      <selection pane="topLeft" activeCell="A37" sqref="A37"/>
      <selection pane="bottomLeft" activeCell="O73" sqref="O73"/>
    </sheetView>
  </sheetViews>
  <sheetFormatPr defaultColWidth="9.00390625" defaultRowHeight="12.75"/>
  <cols>
    <col min="1" max="1" width="9.125" style="1" customWidth="1"/>
    <col min="2" max="2" width="59.00390625" style="1" customWidth="1"/>
    <col min="3" max="3" width="24.375" style="1" customWidth="1"/>
    <col min="4" max="4" width="9.875" style="1" hidden="1" customWidth="1"/>
    <col min="5" max="5" width="11.25390625" style="1" hidden="1" customWidth="1"/>
    <col min="6" max="6" width="19.25390625" style="1" customWidth="1"/>
    <col min="7" max="7" width="19.75390625" style="1" customWidth="1"/>
    <col min="8" max="8" width="18.00390625" style="1" customWidth="1"/>
    <col min="9" max="9" width="19.25390625" style="1" customWidth="1"/>
    <col min="10" max="10" width="18.00390625" style="1" customWidth="1"/>
    <col min="11" max="11" width="20.125" style="1" customWidth="1"/>
    <col min="12" max="12" width="17.875" style="1" customWidth="1"/>
    <col min="13" max="13" width="19.25390625" style="1" customWidth="1"/>
    <col min="14" max="14" width="18.25390625" style="1" customWidth="1"/>
    <col min="15" max="15" width="20.125" style="1" customWidth="1"/>
    <col min="16" max="16" width="18.875" style="1" customWidth="1"/>
    <col min="17" max="17" width="21.25390625" style="1" customWidth="1"/>
    <col min="18" max="16384" width="9.125" style="1" customWidth="1"/>
  </cols>
  <sheetData>
    <row r="1" spans="2:20" ht="20.25">
      <c r="B1" s="6"/>
      <c r="C1" s="5"/>
      <c r="O1" s="15"/>
      <c r="P1" s="15"/>
      <c r="Q1" s="15"/>
      <c r="R1" s="7"/>
      <c r="S1" s="7"/>
      <c r="T1" s="7"/>
    </row>
    <row r="2" spans="2:17" s="3" customFormat="1" ht="20.25">
      <c r="B2" s="84"/>
      <c r="C2" s="84"/>
      <c r="D2" s="84"/>
      <c r="E2" s="84"/>
      <c r="F2" s="84"/>
      <c r="G2" s="84"/>
      <c r="H2" s="84"/>
      <c r="I2" s="14"/>
      <c r="J2" s="14"/>
      <c r="K2" s="14"/>
      <c r="L2" s="14"/>
      <c r="M2" s="14"/>
      <c r="N2" s="8"/>
      <c r="O2" s="8"/>
      <c r="P2" s="8"/>
      <c r="Q2" s="15"/>
    </row>
    <row r="3" spans="2:17" s="3" customFormat="1" ht="20.25">
      <c r="B3" s="16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8"/>
      <c r="O3" s="8"/>
      <c r="P3" s="8"/>
      <c r="Q3" s="15"/>
    </row>
    <row r="4" spans="1:17" s="3" customFormat="1" ht="20.25" customHeight="1">
      <c r="A4" s="81" t="s">
        <v>78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</row>
    <row r="5" spans="1:17" s="3" customFormat="1" ht="20.25">
      <c r="A5" s="83" t="s">
        <v>245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</row>
    <row r="6" spans="2:13" ht="12.7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7" ht="130.5" customHeight="1">
      <c r="A7" s="17" t="s">
        <v>102</v>
      </c>
      <c r="B7" s="18" t="s">
        <v>0</v>
      </c>
      <c r="C7" s="18" t="s">
        <v>77</v>
      </c>
      <c r="D7" s="19" t="s">
        <v>84</v>
      </c>
      <c r="E7" s="19" t="s">
        <v>238</v>
      </c>
      <c r="F7" s="19" t="s">
        <v>226</v>
      </c>
      <c r="G7" s="19" t="s">
        <v>227</v>
      </c>
      <c r="H7" s="19" t="s">
        <v>228</v>
      </c>
      <c r="I7" s="19" t="s">
        <v>239</v>
      </c>
      <c r="J7" s="19" t="s">
        <v>229</v>
      </c>
      <c r="K7" s="19" t="s">
        <v>230</v>
      </c>
      <c r="L7" s="19" t="s">
        <v>235</v>
      </c>
      <c r="M7" s="19" t="s">
        <v>234</v>
      </c>
      <c r="N7" s="19" t="s">
        <v>236</v>
      </c>
      <c r="O7" s="19" t="s">
        <v>233</v>
      </c>
      <c r="P7" s="19" t="s">
        <v>232</v>
      </c>
      <c r="Q7" s="19" t="s">
        <v>231</v>
      </c>
    </row>
    <row r="8" spans="1:17" ht="20.25" customHeight="1">
      <c r="A8" s="20" t="s">
        <v>103</v>
      </c>
      <c r="B8" s="76" t="s">
        <v>68</v>
      </c>
      <c r="C8" s="77"/>
      <c r="D8" s="21"/>
      <c r="E8" s="21"/>
      <c r="F8" s="21"/>
      <c r="G8" s="21"/>
      <c r="H8" s="21"/>
      <c r="I8" s="22"/>
      <c r="J8" s="21"/>
      <c r="K8" s="21"/>
      <c r="L8" s="21"/>
      <c r="M8" s="21"/>
      <c r="N8" s="23"/>
      <c r="O8" s="23"/>
      <c r="P8" s="23"/>
      <c r="Q8" s="23"/>
    </row>
    <row r="9" spans="1:17" ht="23.25" customHeight="1">
      <c r="A9" s="24" t="s">
        <v>105</v>
      </c>
      <c r="B9" s="25" t="s">
        <v>224</v>
      </c>
      <c r="C9" s="26" t="s">
        <v>1</v>
      </c>
      <c r="D9" s="21"/>
      <c r="E9" s="21"/>
      <c r="F9" s="41">
        <v>35</v>
      </c>
      <c r="G9" s="42">
        <v>102</v>
      </c>
      <c r="H9" s="41">
        <v>35.1</v>
      </c>
      <c r="I9" s="42">
        <v>101.4</v>
      </c>
      <c r="J9" s="43">
        <v>35.4</v>
      </c>
      <c r="K9" s="44">
        <f>SUM(J9/F9)*100+ROUND(,1)</f>
        <v>101.14285714285714</v>
      </c>
      <c r="L9" s="41">
        <v>35.5</v>
      </c>
      <c r="M9" s="42">
        <f>SUM(L9/H9)*100</f>
        <v>101.13960113960114</v>
      </c>
      <c r="N9" s="45">
        <v>35.9</v>
      </c>
      <c r="O9" s="46">
        <f>SUM(N9/J9)*100</f>
        <v>101.41242937853107</v>
      </c>
      <c r="P9" s="45">
        <v>36.1</v>
      </c>
      <c r="Q9" s="46">
        <f>SUM(P9/L9)*100</f>
        <v>101.69014084507042</v>
      </c>
    </row>
    <row r="10" spans="1:17" ht="18.75" customHeight="1">
      <c r="A10" s="24" t="s">
        <v>106</v>
      </c>
      <c r="B10" s="27" t="s">
        <v>240</v>
      </c>
      <c r="C10" s="26" t="s">
        <v>79</v>
      </c>
      <c r="D10" s="21"/>
      <c r="E10" s="21"/>
      <c r="F10" s="41">
        <v>91</v>
      </c>
      <c r="G10" s="42">
        <v>73.4</v>
      </c>
      <c r="H10" s="41">
        <v>349</v>
      </c>
      <c r="I10" s="42">
        <v>96.4</v>
      </c>
      <c r="J10" s="43">
        <v>77</v>
      </c>
      <c r="K10" s="44">
        <f>SUM(J10/F10)*100+ROUND(,1)</f>
        <v>84.61538461538461</v>
      </c>
      <c r="L10" s="41">
        <v>351</v>
      </c>
      <c r="M10" s="42">
        <f>SUM(L10/H10)*100</f>
        <v>100.57306590257879</v>
      </c>
      <c r="N10" s="45">
        <v>134</v>
      </c>
      <c r="O10" s="46">
        <f>SUM(N10/J10)*100</f>
        <v>174.02597402597402</v>
      </c>
      <c r="P10" s="45">
        <v>360</v>
      </c>
      <c r="Q10" s="46">
        <f>SUM(P10/L10)*100</f>
        <v>102.56410256410255</v>
      </c>
    </row>
    <row r="11" spans="1:17" ht="20.25" customHeight="1">
      <c r="A11" s="24" t="s">
        <v>107</v>
      </c>
      <c r="B11" s="27" t="s">
        <v>66</v>
      </c>
      <c r="C11" s="26" t="s">
        <v>79</v>
      </c>
      <c r="D11" s="21"/>
      <c r="E11" s="21"/>
      <c r="F11" s="41">
        <v>2</v>
      </c>
      <c r="G11" s="42">
        <v>4</v>
      </c>
      <c r="H11" s="41">
        <v>39</v>
      </c>
      <c r="I11" s="42">
        <v>7.8</v>
      </c>
      <c r="J11" s="43">
        <v>85</v>
      </c>
      <c r="K11" s="44">
        <f>SUM(J11/F11)*100+ROUND(,1)</f>
        <v>4250</v>
      </c>
      <c r="L11" s="41">
        <v>183</v>
      </c>
      <c r="M11" s="42">
        <f aca="true" t="shared" si="0" ref="M11:M20">SUM(L11/H11)*100</f>
        <v>469.2307692307692</v>
      </c>
      <c r="N11" s="45">
        <v>10</v>
      </c>
      <c r="O11" s="46">
        <f aca="true" t="shared" si="1" ref="O11:O20">SUM(N11/J11)*100</f>
        <v>11.76470588235294</v>
      </c>
      <c r="P11" s="45">
        <v>179</v>
      </c>
      <c r="Q11" s="46">
        <f aca="true" t="shared" si="2" ref="Q11:Q20">SUM(P11/L11)*100</f>
        <v>97.81420765027322</v>
      </c>
    </row>
    <row r="12" spans="1:17" ht="20.25" customHeight="1">
      <c r="A12" s="20" t="s">
        <v>104</v>
      </c>
      <c r="B12" s="78" t="s">
        <v>69</v>
      </c>
      <c r="C12" s="79"/>
      <c r="D12" s="21"/>
      <c r="E12" s="21"/>
      <c r="F12" s="41"/>
      <c r="G12" s="41"/>
      <c r="H12" s="41"/>
      <c r="I12" s="41"/>
      <c r="J12" s="41"/>
      <c r="K12" s="41"/>
      <c r="L12" s="41"/>
      <c r="M12" s="42"/>
      <c r="N12" s="45"/>
      <c r="O12" s="46"/>
      <c r="P12" s="45"/>
      <c r="Q12" s="47"/>
    </row>
    <row r="13" spans="1:17" ht="63.75" customHeight="1">
      <c r="A13" s="24" t="s">
        <v>108</v>
      </c>
      <c r="B13" s="25" t="s">
        <v>53</v>
      </c>
      <c r="C13" s="28" t="s">
        <v>1</v>
      </c>
      <c r="D13" s="21"/>
      <c r="E13" s="21"/>
      <c r="F13" s="41">
        <v>15.9</v>
      </c>
      <c r="G13" s="42">
        <v>99.4</v>
      </c>
      <c r="H13" s="41">
        <v>17.1</v>
      </c>
      <c r="I13" s="42">
        <v>106.9</v>
      </c>
      <c r="J13" s="43">
        <v>16.1</v>
      </c>
      <c r="K13" s="44">
        <f aca="true" t="shared" si="3" ref="K13:K20">SUM(J13/F13)*100+ROUND(,1)</f>
        <v>101.25786163522012</v>
      </c>
      <c r="L13" s="41">
        <v>15.7</v>
      </c>
      <c r="M13" s="42">
        <f t="shared" si="0"/>
        <v>91.81286549707602</v>
      </c>
      <c r="N13" s="43">
        <v>15.3</v>
      </c>
      <c r="O13" s="44">
        <f t="shared" si="1"/>
        <v>95.03105590062111</v>
      </c>
      <c r="P13" s="43">
        <v>15.7</v>
      </c>
      <c r="Q13" s="44">
        <f t="shared" si="2"/>
        <v>100</v>
      </c>
    </row>
    <row r="14" spans="1:17" ht="81" customHeight="1">
      <c r="A14" s="24" t="s">
        <v>109</v>
      </c>
      <c r="B14" s="25" t="s">
        <v>54</v>
      </c>
      <c r="C14" s="28" t="s">
        <v>1</v>
      </c>
      <c r="D14" s="21"/>
      <c r="E14" s="21"/>
      <c r="F14" s="41">
        <v>13.8</v>
      </c>
      <c r="G14" s="42">
        <v>100.7</v>
      </c>
      <c r="H14" s="41">
        <v>13.9</v>
      </c>
      <c r="I14" s="42">
        <v>102.2</v>
      </c>
      <c r="J14" s="43">
        <v>13.7</v>
      </c>
      <c r="K14" s="44">
        <f t="shared" si="3"/>
        <v>99.27536231884056</v>
      </c>
      <c r="L14" s="41">
        <v>13.5</v>
      </c>
      <c r="M14" s="42">
        <f t="shared" si="0"/>
        <v>97.12230215827337</v>
      </c>
      <c r="N14" s="43">
        <v>13</v>
      </c>
      <c r="O14" s="44">
        <f t="shared" si="1"/>
        <v>94.89051094890512</v>
      </c>
      <c r="P14" s="43">
        <v>13.5</v>
      </c>
      <c r="Q14" s="44">
        <f t="shared" si="2"/>
        <v>100</v>
      </c>
    </row>
    <row r="15" spans="1:17" ht="83.25" customHeight="1">
      <c r="A15" s="24" t="s">
        <v>110</v>
      </c>
      <c r="B15" s="25" t="s">
        <v>88</v>
      </c>
      <c r="C15" s="28" t="s">
        <v>1</v>
      </c>
      <c r="D15" s="21"/>
      <c r="E15" s="21"/>
      <c r="F15" s="41">
        <v>0.341</v>
      </c>
      <c r="G15" s="42">
        <v>92.7</v>
      </c>
      <c r="H15" s="41">
        <v>1.282</v>
      </c>
      <c r="I15" s="42">
        <v>94.8</v>
      </c>
      <c r="J15" s="43">
        <v>0.349</v>
      </c>
      <c r="K15" s="44">
        <f t="shared" si="3"/>
        <v>102.34604105571844</v>
      </c>
      <c r="L15" s="41">
        <v>1.419</v>
      </c>
      <c r="M15" s="42">
        <f t="shared" si="0"/>
        <v>110.68642745709829</v>
      </c>
      <c r="N15" s="43">
        <v>0.348</v>
      </c>
      <c r="O15" s="44">
        <f t="shared" si="1"/>
        <v>99.7134670487106</v>
      </c>
      <c r="P15" s="43">
        <v>1.355</v>
      </c>
      <c r="Q15" s="44">
        <f t="shared" si="2"/>
        <v>95.48978153629317</v>
      </c>
    </row>
    <row r="16" spans="1:17" ht="47.25" customHeight="1">
      <c r="A16" s="24" t="s">
        <v>111</v>
      </c>
      <c r="B16" s="25" t="s">
        <v>87</v>
      </c>
      <c r="C16" s="28" t="s">
        <v>1</v>
      </c>
      <c r="D16" s="21"/>
      <c r="E16" s="21"/>
      <c r="F16" s="41">
        <v>0.289</v>
      </c>
      <c r="G16" s="42">
        <v>76.5</v>
      </c>
      <c r="H16" s="41">
        <v>0.198</v>
      </c>
      <c r="I16" s="42">
        <v>70.2</v>
      </c>
      <c r="J16" s="43">
        <v>0.24</v>
      </c>
      <c r="K16" s="44">
        <f t="shared" si="3"/>
        <v>83.04498269896195</v>
      </c>
      <c r="L16" s="41">
        <v>0.217</v>
      </c>
      <c r="M16" s="42">
        <f t="shared" si="0"/>
        <v>109.59595959595958</v>
      </c>
      <c r="N16" s="43">
        <v>0.202</v>
      </c>
      <c r="O16" s="44">
        <f t="shared" si="1"/>
        <v>84.16666666666669</v>
      </c>
      <c r="P16" s="43">
        <v>0.215</v>
      </c>
      <c r="Q16" s="44">
        <f t="shared" si="2"/>
        <v>99.07834101382488</v>
      </c>
    </row>
    <row r="17" spans="1:17" ht="40.5" customHeight="1">
      <c r="A17" s="24" t="s">
        <v>112</v>
      </c>
      <c r="B17" s="25" t="s">
        <v>195</v>
      </c>
      <c r="C17" s="28" t="s">
        <v>7</v>
      </c>
      <c r="D17" s="21"/>
      <c r="E17" s="21" t="s">
        <v>86</v>
      </c>
      <c r="F17" s="41">
        <v>1.18</v>
      </c>
      <c r="G17" s="42"/>
      <c r="H17" s="41">
        <v>0.8</v>
      </c>
      <c r="I17" s="42"/>
      <c r="J17" s="43">
        <v>0.98</v>
      </c>
      <c r="K17" s="44"/>
      <c r="L17" s="41">
        <v>0.84</v>
      </c>
      <c r="M17" s="42"/>
      <c r="N17" s="43">
        <v>0.78</v>
      </c>
      <c r="O17" s="44"/>
      <c r="P17" s="43">
        <v>0.8</v>
      </c>
      <c r="Q17" s="44"/>
    </row>
    <row r="18" spans="1:17" ht="20.25" customHeight="1">
      <c r="A18" s="24" t="s">
        <v>199</v>
      </c>
      <c r="B18" s="25" t="s">
        <v>196</v>
      </c>
      <c r="C18" s="28" t="s">
        <v>49</v>
      </c>
      <c r="D18" s="21"/>
      <c r="E18" s="21"/>
      <c r="F18" s="48">
        <f>SUM(F19:F20)</f>
        <v>149</v>
      </c>
      <c r="G18" s="42">
        <v>88.2</v>
      </c>
      <c r="H18" s="48">
        <f>SUM(H19:H20)</f>
        <v>657</v>
      </c>
      <c r="I18" s="42">
        <v>93.2</v>
      </c>
      <c r="J18" s="48">
        <f>SUM(J19:J20)</f>
        <v>69</v>
      </c>
      <c r="K18" s="44">
        <f t="shared" si="3"/>
        <v>46.308724832214764</v>
      </c>
      <c r="L18" s="48">
        <f>SUM(L19:L20)</f>
        <v>685</v>
      </c>
      <c r="M18" s="42">
        <f t="shared" si="0"/>
        <v>104.26179604261796</v>
      </c>
      <c r="N18" s="48">
        <f>SUM(N19:N20)</f>
        <v>175</v>
      </c>
      <c r="O18" s="46">
        <f t="shared" si="1"/>
        <v>253.62318840579712</v>
      </c>
      <c r="P18" s="48">
        <f>SUM(P19:P20)</f>
        <v>690</v>
      </c>
      <c r="Q18" s="46">
        <f t="shared" si="2"/>
        <v>100.72992700729928</v>
      </c>
    </row>
    <row r="19" spans="1:17" ht="20.25" customHeight="1">
      <c r="A19" s="24" t="s">
        <v>200</v>
      </c>
      <c r="B19" s="25" t="s">
        <v>197</v>
      </c>
      <c r="C19" s="28"/>
      <c r="D19" s="21"/>
      <c r="E19" s="21"/>
      <c r="F19" s="41">
        <v>71</v>
      </c>
      <c r="G19" s="42">
        <v>91</v>
      </c>
      <c r="H19" s="41">
        <v>233</v>
      </c>
      <c r="I19" s="42">
        <v>95.7</v>
      </c>
      <c r="J19" s="43">
        <v>39</v>
      </c>
      <c r="K19" s="44">
        <f t="shared" si="3"/>
        <v>54.929577464788736</v>
      </c>
      <c r="L19" s="41">
        <v>224</v>
      </c>
      <c r="M19" s="42">
        <f t="shared" si="0"/>
        <v>96.13733905579399</v>
      </c>
      <c r="N19" s="45">
        <v>58</v>
      </c>
      <c r="O19" s="46">
        <f t="shared" si="1"/>
        <v>148.71794871794873</v>
      </c>
      <c r="P19" s="45">
        <v>225</v>
      </c>
      <c r="Q19" s="46">
        <f t="shared" si="2"/>
        <v>100.44642857142858</v>
      </c>
    </row>
    <row r="20" spans="1:18" ht="20.25" customHeight="1">
      <c r="A20" s="24" t="s">
        <v>201</v>
      </c>
      <c r="B20" s="25" t="s">
        <v>198</v>
      </c>
      <c r="C20" s="28"/>
      <c r="D20" s="21"/>
      <c r="E20" s="21"/>
      <c r="F20" s="41">
        <v>78</v>
      </c>
      <c r="G20" s="42">
        <v>85.7</v>
      </c>
      <c r="H20" s="41">
        <v>424</v>
      </c>
      <c r="I20" s="42">
        <v>91</v>
      </c>
      <c r="J20" s="43">
        <v>30</v>
      </c>
      <c r="K20" s="44">
        <f t="shared" si="3"/>
        <v>38.46153846153847</v>
      </c>
      <c r="L20" s="41">
        <v>461</v>
      </c>
      <c r="M20" s="42">
        <f t="shared" si="0"/>
        <v>108.72641509433963</v>
      </c>
      <c r="N20" s="45">
        <v>117</v>
      </c>
      <c r="O20" s="46">
        <f t="shared" si="1"/>
        <v>390</v>
      </c>
      <c r="P20" s="45">
        <v>465</v>
      </c>
      <c r="Q20" s="46">
        <f t="shared" si="2"/>
        <v>100.86767895878526</v>
      </c>
      <c r="R20"/>
    </row>
    <row r="21" spans="1:18" ht="63.75" customHeight="1">
      <c r="A21" s="20" t="s">
        <v>113</v>
      </c>
      <c r="B21" s="74" t="s">
        <v>72</v>
      </c>
      <c r="C21" s="75"/>
      <c r="D21" s="21"/>
      <c r="E21" s="21"/>
      <c r="F21" s="41"/>
      <c r="G21" s="41"/>
      <c r="H21" s="41"/>
      <c r="I21" s="41"/>
      <c r="J21" s="41"/>
      <c r="K21" s="41"/>
      <c r="L21" s="41"/>
      <c r="M21" s="41"/>
      <c r="N21" s="47"/>
      <c r="O21" s="47"/>
      <c r="P21" s="47"/>
      <c r="Q21" s="47"/>
      <c r="R21"/>
    </row>
    <row r="22" spans="1:18" ht="21" customHeight="1">
      <c r="A22" s="24"/>
      <c r="B22" s="27" t="s">
        <v>2</v>
      </c>
      <c r="C22" s="26" t="s">
        <v>3</v>
      </c>
      <c r="D22" s="21"/>
      <c r="E22" s="21" t="s">
        <v>86</v>
      </c>
      <c r="F22" s="41">
        <f>SUM(F26+F28)</f>
        <v>209.60000000000002</v>
      </c>
      <c r="G22" s="41">
        <v>86.6</v>
      </c>
      <c r="H22" s="41">
        <f>SUM(H26+H28)</f>
        <v>1336.6</v>
      </c>
      <c r="I22" s="41">
        <v>102.8</v>
      </c>
      <c r="J22" s="41">
        <f>SUM(J26+J28)</f>
        <v>313.70000000000005</v>
      </c>
      <c r="K22" s="41">
        <v>149.7</v>
      </c>
      <c r="L22" s="41">
        <f>SUM(L26+L28)</f>
        <v>1344.6</v>
      </c>
      <c r="M22" s="41">
        <v>100.6</v>
      </c>
      <c r="N22" s="41">
        <f>SUM(N26+N28)</f>
        <v>213.10000000000002</v>
      </c>
      <c r="O22" s="42">
        <f>SUM(N22/J22*100)</f>
        <v>67.93114440548294</v>
      </c>
      <c r="P22" s="41">
        <f>SUM(P26+P28)</f>
        <v>1698.8000000000002</v>
      </c>
      <c r="Q22" s="44">
        <f>SUM(P22/L22*100)</f>
        <v>126.34240666369183</v>
      </c>
      <c r="R22"/>
    </row>
    <row r="23" spans="1:18" ht="42" customHeight="1">
      <c r="A23" s="24" t="s">
        <v>114</v>
      </c>
      <c r="B23" s="27" t="s">
        <v>56</v>
      </c>
      <c r="C23" s="26" t="s">
        <v>57</v>
      </c>
      <c r="D23" s="21"/>
      <c r="E23" s="21"/>
      <c r="F23" s="41">
        <v>78.5</v>
      </c>
      <c r="G23" s="41"/>
      <c r="H23" s="41">
        <v>98.8</v>
      </c>
      <c r="I23" s="41"/>
      <c r="J23" s="41">
        <v>139.1</v>
      </c>
      <c r="K23" s="41"/>
      <c r="L23" s="41">
        <v>93.9</v>
      </c>
      <c r="M23" s="41"/>
      <c r="N23" s="44">
        <f>SUM(O22/1.069)</f>
        <v>63.54644004254719</v>
      </c>
      <c r="O23" s="42"/>
      <c r="P23" s="44">
        <f>SUM(Q22/1.056)</f>
        <v>119.64243055273847</v>
      </c>
      <c r="Q23" s="44"/>
      <c r="R23"/>
    </row>
    <row r="24" spans="1:18" ht="20.25">
      <c r="A24" s="24" t="s">
        <v>115</v>
      </c>
      <c r="B24" s="27" t="s">
        <v>4</v>
      </c>
      <c r="C24" s="26"/>
      <c r="D24" s="21"/>
      <c r="E24" s="21" t="s">
        <v>86</v>
      </c>
      <c r="F24" s="41"/>
      <c r="G24" s="41"/>
      <c r="H24" s="41"/>
      <c r="I24" s="41"/>
      <c r="J24" s="41"/>
      <c r="K24" s="41"/>
      <c r="L24" s="41"/>
      <c r="M24" s="41"/>
      <c r="N24" s="47"/>
      <c r="O24" s="42"/>
      <c r="P24" s="47"/>
      <c r="Q24" s="44"/>
      <c r="R24"/>
    </row>
    <row r="25" spans="1:17" ht="43.5" customHeight="1">
      <c r="A25" s="24" t="s">
        <v>116</v>
      </c>
      <c r="B25" s="27" t="s">
        <v>58</v>
      </c>
      <c r="C25" s="26" t="s">
        <v>57</v>
      </c>
      <c r="D25" s="21"/>
      <c r="E25" s="21" t="s">
        <v>86</v>
      </c>
      <c r="F25" s="41"/>
      <c r="G25" s="41"/>
      <c r="H25" s="41"/>
      <c r="I25" s="41"/>
      <c r="J25" s="41"/>
      <c r="K25" s="41"/>
      <c r="L25" s="41"/>
      <c r="M25" s="41"/>
      <c r="N25" s="47"/>
      <c r="O25" s="42"/>
      <c r="P25" s="47"/>
      <c r="Q25" s="44"/>
    </row>
    <row r="26" spans="1:17" ht="20.25">
      <c r="A26" s="24" t="s">
        <v>117</v>
      </c>
      <c r="B26" s="27" t="s">
        <v>5</v>
      </c>
      <c r="C26" s="26" t="s">
        <v>3</v>
      </c>
      <c r="D26" s="21"/>
      <c r="E26" s="21" t="s">
        <v>86</v>
      </c>
      <c r="F26" s="41">
        <v>70.7</v>
      </c>
      <c r="G26" s="41">
        <v>72.7</v>
      </c>
      <c r="H26" s="41">
        <v>843.5</v>
      </c>
      <c r="I26" s="41">
        <v>101.1</v>
      </c>
      <c r="J26" s="41">
        <v>161.9</v>
      </c>
      <c r="K26" s="41" t="s">
        <v>255</v>
      </c>
      <c r="L26" s="41">
        <v>835.2</v>
      </c>
      <c r="M26" s="42">
        <v>99</v>
      </c>
      <c r="N26" s="43">
        <v>39.3</v>
      </c>
      <c r="O26" s="42">
        <f>SUM(N26/J26*100)</f>
        <v>24.274243360098822</v>
      </c>
      <c r="P26" s="43">
        <v>1097.2</v>
      </c>
      <c r="Q26" s="44">
        <f>SUM(P26/L26*100)</f>
        <v>131.3697318007663</v>
      </c>
    </row>
    <row r="27" spans="1:17" ht="39.75" customHeight="1">
      <c r="A27" s="24" t="s">
        <v>118</v>
      </c>
      <c r="B27" s="27" t="s">
        <v>58</v>
      </c>
      <c r="C27" s="26" t="s">
        <v>57</v>
      </c>
      <c r="D27" s="21"/>
      <c r="E27" s="21" t="s">
        <v>86</v>
      </c>
      <c r="F27" s="41">
        <v>69.7</v>
      </c>
      <c r="G27" s="41"/>
      <c r="H27" s="41">
        <v>95.5</v>
      </c>
      <c r="I27" s="41"/>
      <c r="J27" s="41" t="s">
        <v>247</v>
      </c>
      <c r="K27" s="41"/>
      <c r="L27" s="41">
        <v>94.1</v>
      </c>
      <c r="M27" s="41"/>
      <c r="N27" s="44">
        <f>SUM(O26/1.045)</f>
        <v>23.228941014448637</v>
      </c>
      <c r="O27" s="42"/>
      <c r="P27" s="44">
        <f>SUM(Q26/1.045)</f>
        <v>125.71266201030268</v>
      </c>
      <c r="Q27" s="44"/>
    </row>
    <row r="28" spans="1:17" ht="40.5">
      <c r="A28" s="24" t="s">
        <v>119</v>
      </c>
      <c r="B28" s="27" t="s">
        <v>6</v>
      </c>
      <c r="C28" s="26" t="s">
        <v>3</v>
      </c>
      <c r="D28" s="21"/>
      <c r="E28" s="21" t="s">
        <v>86</v>
      </c>
      <c r="F28" s="41">
        <v>138.9</v>
      </c>
      <c r="G28" s="42">
        <v>96</v>
      </c>
      <c r="H28" s="41">
        <v>493.1</v>
      </c>
      <c r="I28" s="42">
        <v>106</v>
      </c>
      <c r="J28" s="41">
        <v>151.8</v>
      </c>
      <c r="K28" s="41">
        <v>109.3</v>
      </c>
      <c r="L28" s="41">
        <v>509.4</v>
      </c>
      <c r="M28" s="41">
        <v>103.3</v>
      </c>
      <c r="N28" s="43">
        <v>173.8</v>
      </c>
      <c r="O28" s="42">
        <f>SUM(N28/J28*100)</f>
        <v>114.4927536231884</v>
      </c>
      <c r="P28" s="43">
        <v>601.6</v>
      </c>
      <c r="Q28" s="44">
        <f>SUM(P28/L28*100)</f>
        <v>118.09972516686298</v>
      </c>
    </row>
    <row r="29" spans="1:17" ht="41.25" customHeight="1">
      <c r="A29" s="24" t="s">
        <v>120</v>
      </c>
      <c r="B29" s="27" t="s">
        <v>58</v>
      </c>
      <c r="C29" s="26" t="s">
        <v>57</v>
      </c>
      <c r="D29" s="21"/>
      <c r="E29" s="21" t="s">
        <v>86</v>
      </c>
      <c r="F29" s="41">
        <v>91.9</v>
      </c>
      <c r="G29" s="41"/>
      <c r="H29" s="41">
        <v>104.7</v>
      </c>
      <c r="I29" s="41"/>
      <c r="J29" s="41">
        <v>97.4</v>
      </c>
      <c r="K29" s="41"/>
      <c r="L29" s="41">
        <v>93.8</v>
      </c>
      <c r="M29" s="41"/>
      <c r="N29" s="44">
        <f>SUM(O28/1.075)</f>
        <v>106.50488709133806</v>
      </c>
      <c r="O29" s="47"/>
      <c r="P29" s="44">
        <f>SUM(Q28/1.075)</f>
        <v>109.86020945754696</v>
      </c>
      <c r="Q29" s="44"/>
    </row>
    <row r="30" spans="1:17" ht="52.5" customHeight="1">
      <c r="A30" s="20" t="s">
        <v>121</v>
      </c>
      <c r="B30" s="80" t="s">
        <v>8</v>
      </c>
      <c r="C30" s="79"/>
      <c r="D30" s="21"/>
      <c r="E30" s="21"/>
      <c r="F30" s="41"/>
      <c r="G30" s="41"/>
      <c r="H30" s="41"/>
      <c r="I30" s="41"/>
      <c r="J30" s="41"/>
      <c r="K30" s="41"/>
      <c r="L30" s="41"/>
      <c r="M30" s="41"/>
      <c r="N30" s="47"/>
      <c r="O30" s="47"/>
      <c r="P30" s="47"/>
      <c r="Q30" s="47"/>
    </row>
    <row r="31" spans="1:17" ht="22.5" customHeight="1">
      <c r="A31" s="24" t="s">
        <v>122</v>
      </c>
      <c r="B31" s="27" t="s">
        <v>47</v>
      </c>
      <c r="C31" s="26" t="s">
        <v>9</v>
      </c>
      <c r="D31" s="21"/>
      <c r="E31" s="21"/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</row>
    <row r="32" spans="1:17" ht="21.75" customHeight="1">
      <c r="A32" s="24" t="s">
        <v>123</v>
      </c>
      <c r="B32" s="27" t="s">
        <v>225</v>
      </c>
      <c r="C32" s="26" t="s">
        <v>10</v>
      </c>
      <c r="D32" s="21"/>
      <c r="E32" s="21"/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</row>
    <row r="33" spans="1:17" ht="22.5" customHeight="1">
      <c r="A33" s="24" t="s">
        <v>124</v>
      </c>
      <c r="B33" s="27" t="s">
        <v>11</v>
      </c>
      <c r="C33" s="26" t="s">
        <v>12</v>
      </c>
      <c r="D33" s="21"/>
      <c r="E33" s="21"/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41">
        <v>0</v>
      </c>
      <c r="M33" s="41">
        <v>0</v>
      </c>
      <c r="N33" s="41">
        <v>0</v>
      </c>
      <c r="O33" s="41">
        <v>0</v>
      </c>
      <c r="P33" s="41">
        <v>0</v>
      </c>
      <c r="Q33" s="41">
        <v>0</v>
      </c>
    </row>
    <row r="34" spans="1:17" ht="21" customHeight="1">
      <c r="A34" s="24" t="s">
        <v>125</v>
      </c>
      <c r="B34" s="27" t="s">
        <v>46</v>
      </c>
      <c r="C34" s="26" t="s">
        <v>13</v>
      </c>
      <c r="D34" s="21"/>
      <c r="E34" s="21"/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</row>
    <row r="35" spans="1:17" ht="21" customHeight="1">
      <c r="A35" s="24" t="s">
        <v>126</v>
      </c>
      <c r="B35" s="27" t="s">
        <v>222</v>
      </c>
      <c r="C35" s="26" t="s">
        <v>13</v>
      </c>
      <c r="D35" s="21"/>
      <c r="E35" s="21"/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41">
        <v>0</v>
      </c>
    </row>
    <row r="36" spans="1:17" ht="21.75" customHeight="1">
      <c r="A36" s="24" t="s">
        <v>127</v>
      </c>
      <c r="B36" s="27" t="s">
        <v>101</v>
      </c>
      <c r="C36" s="26" t="s">
        <v>13</v>
      </c>
      <c r="D36" s="21"/>
      <c r="E36" s="21"/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</row>
    <row r="37" spans="1:17" ht="21" customHeight="1">
      <c r="A37" s="24" t="s">
        <v>128</v>
      </c>
      <c r="B37" s="27" t="s">
        <v>14</v>
      </c>
      <c r="C37" s="26" t="s">
        <v>13</v>
      </c>
      <c r="D37" s="21"/>
      <c r="E37" s="21"/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</row>
    <row r="38" spans="1:17" ht="21" customHeight="1">
      <c r="A38" s="24" t="s">
        <v>202</v>
      </c>
      <c r="B38" s="27" t="s">
        <v>210</v>
      </c>
      <c r="C38" s="26" t="s">
        <v>30</v>
      </c>
      <c r="D38" s="21"/>
      <c r="E38" s="21"/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41">
        <v>0</v>
      </c>
      <c r="M38" s="41">
        <v>0</v>
      </c>
      <c r="N38" s="41">
        <v>0</v>
      </c>
      <c r="O38" s="41">
        <v>0</v>
      </c>
      <c r="P38" s="41">
        <v>0</v>
      </c>
      <c r="Q38" s="41">
        <v>0</v>
      </c>
    </row>
    <row r="39" spans="1:17" ht="21" customHeight="1">
      <c r="A39" s="24" t="s">
        <v>203</v>
      </c>
      <c r="B39" s="27" t="s">
        <v>209</v>
      </c>
      <c r="C39" s="26" t="s">
        <v>30</v>
      </c>
      <c r="D39" s="21"/>
      <c r="E39" s="21"/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41">
        <v>0</v>
      </c>
      <c r="Q39" s="41">
        <v>0</v>
      </c>
    </row>
    <row r="40" spans="1:17" ht="21" customHeight="1">
      <c r="A40" s="24" t="s">
        <v>204</v>
      </c>
      <c r="B40" s="27" t="s">
        <v>211</v>
      </c>
      <c r="C40" s="26" t="s">
        <v>220</v>
      </c>
      <c r="D40" s="21"/>
      <c r="E40" s="21"/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</row>
    <row r="41" spans="1:17" ht="21" customHeight="1">
      <c r="A41" s="24" t="s">
        <v>205</v>
      </c>
      <c r="B41" s="27" t="s">
        <v>213</v>
      </c>
      <c r="C41" s="26" t="s">
        <v>219</v>
      </c>
      <c r="D41" s="21"/>
      <c r="E41" s="21"/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</row>
    <row r="42" spans="1:17" ht="21" customHeight="1">
      <c r="A42" s="24" t="s">
        <v>206</v>
      </c>
      <c r="B42" s="27" t="s">
        <v>212</v>
      </c>
      <c r="C42" s="26" t="s">
        <v>221</v>
      </c>
      <c r="D42" s="21"/>
      <c r="E42" s="21"/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  <c r="Q42" s="41">
        <v>0</v>
      </c>
    </row>
    <row r="43" spans="1:17" ht="21" customHeight="1">
      <c r="A43" s="24" t="s">
        <v>207</v>
      </c>
      <c r="B43" s="27" t="s">
        <v>214</v>
      </c>
      <c r="C43" s="26" t="s">
        <v>221</v>
      </c>
      <c r="D43" s="21"/>
      <c r="E43" s="21"/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</row>
    <row r="44" spans="1:17" ht="21" customHeight="1">
      <c r="A44" s="24" t="s">
        <v>208</v>
      </c>
      <c r="B44" s="27" t="s">
        <v>215</v>
      </c>
      <c r="C44" s="26" t="s">
        <v>221</v>
      </c>
      <c r="D44" s="21"/>
      <c r="E44" s="21"/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</row>
    <row r="45" spans="1:17" ht="42.75" customHeight="1">
      <c r="A45" s="24" t="s">
        <v>223</v>
      </c>
      <c r="B45" s="27" t="s">
        <v>216</v>
      </c>
      <c r="C45" s="26" t="s">
        <v>30</v>
      </c>
      <c r="D45" s="21"/>
      <c r="E45" s="21"/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41">
        <v>0</v>
      </c>
      <c r="Q45" s="41">
        <v>0</v>
      </c>
    </row>
    <row r="46" spans="1:17" ht="24.75" customHeight="1">
      <c r="A46" s="20" t="s">
        <v>129</v>
      </c>
      <c r="B46" s="78" t="s">
        <v>73</v>
      </c>
      <c r="C46" s="79"/>
      <c r="D46" s="21"/>
      <c r="E46" s="21"/>
      <c r="F46" s="41"/>
      <c r="G46" s="41"/>
      <c r="H46" s="41"/>
      <c r="I46" s="41"/>
      <c r="J46" s="41"/>
      <c r="K46" s="41"/>
      <c r="L46" s="41"/>
      <c r="M46" s="41"/>
      <c r="N46" s="47"/>
      <c r="O46" s="47"/>
      <c r="P46" s="47"/>
      <c r="Q46" s="47"/>
    </row>
    <row r="47" spans="1:17" ht="28.5" customHeight="1">
      <c r="A47" s="24"/>
      <c r="B47" s="27" t="s">
        <v>2</v>
      </c>
      <c r="C47" s="26" t="s">
        <v>15</v>
      </c>
      <c r="D47" s="21"/>
      <c r="E47" s="21" t="s">
        <v>86</v>
      </c>
      <c r="F47" s="42">
        <v>130.8</v>
      </c>
      <c r="G47" s="42">
        <v>87.6</v>
      </c>
      <c r="H47" s="41">
        <v>1400.9</v>
      </c>
      <c r="I47" s="41">
        <v>100.1</v>
      </c>
      <c r="J47" s="41">
        <v>106.7</v>
      </c>
      <c r="K47" s="42">
        <f>SUM(J47/F47*100)</f>
        <v>81.5749235474006</v>
      </c>
      <c r="L47" s="41">
        <v>1514.5</v>
      </c>
      <c r="M47" s="42">
        <f>SUM(L47/H47*100)</f>
        <v>108.10907273895351</v>
      </c>
      <c r="N47" s="43">
        <v>50.5</v>
      </c>
      <c r="O47" s="44">
        <f>SUM(N47/J47*100)</f>
        <v>47.32895970009372</v>
      </c>
      <c r="P47" s="43">
        <v>1473.2</v>
      </c>
      <c r="Q47" s="44">
        <f>SUM(P47/L47*100)</f>
        <v>97.27302740178277</v>
      </c>
    </row>
    <row r="48" spans="1:17" ht="95.25" customHeight="1">
      <c r="A48" s="24" t="s">
        <v>130</v>
      </c>
      <c r="B48" s="29" t="s">
        <v>55</v>
      </c>
      <c r="C48" s="30" t="s">
        <v>59</v>
      </c>
      <c r="D48" s="21"/>
      <c r="E48" s="21" t="s">
        <v>86</v>
      </c>
      <c r="F48" s="42">
        <v>82</v>
      </c>
      <c r="G48" s="41"/>
      <c r="H48" s="41">
        <v>93.7</v>
      </c>
      <c r="I48" s="41"/>
      <c r="J48" s="41">
        <v>76.9</v>
      </c>
      <c r="K48" s="41"/>
      <c r="L48" s="42">
        <v>102</v>
      </c>
      <c r="M48" s="41"/>
      <c r="N48" s="44">
        <v>45</v>
      </c>
      <c r="O48" s="43"/>
      <c r="P48" s="43">
        <v>92.5</v>
      </c>
      <c r="Q48" s="43"/>
    </row>
    <row r="49" spans="1:17" ht="24" customHeight="1">
      <c r="A49" s="20" t="s">
        <v>131</v>
      </c>
      <c r="B49" s="80" t="s">
        <v>74</v>
      </c>
      <c r="C49" s="79"/>
      <c r="D49" s="21"/>
      <c r="E49" s="21"/>
      <c r="F49" s="41"/>
      <c r="G49" s="41"/>
      <c r="H49" s="41"/>
      <c r="I49" s="41"/>
      <c r="J49" s="41"/>
      <c r="K49" s="41"/>
      <c r="L49" s="41"/>
      <c r="M49" s="41"/>
      <c r="N49" s="47"/>
      <c r="O49" s="47"/>
      <c r="P49" s="47"/>
      <c r="Q49" s="47"/>
    </row>
    <row r="50" spans="1:17" ht="20.25">
      <c r="A50" s="24"/>
      <c r="B50" s="27" t="s">
        <v>2</v>
      </c>
      <c r="C50" s="26" t="s">
        <v>16</v>
      </c>
      <c r="D50" s="21"/>
      <c r="E50" s="21" t="s">
        <v>86</v>
      </c>
      <c r="F50" s="41">
        <v>264.2</v>
      </c>
      <c r="G50" s="41">
        <v>46.5</v>
      </c>
      <c r="H50" s="41">
        <v>3471.7</v>
      </c>
      <c r="I50" s="41">
        <v>89.9</v>
      </c>
      <c r="J50" s="41">
        <v>479.2</v>
      </c>
      <c r="K50" s="41">
        <v>181.4</v>
      </c>
      <c r="L50" s="41">
        <v>3225.9</v>
      </c>
      <c r="M50" s="41">
        <v>92.9</v>
      </c>
      <c r="N50" s="45">
        <v>131.9</v>
      </c>
      <c r="O50" s="45">
        <v>27.5</v>
      </c>
      <c r="P50" s="45">
        <v>4074.8</v>
      </c>
      <c r="Q50" s="45">
        <v>126.3</v>
      </c>
    </row>
    <row r="51" spans="1:17" ht="102" customHeight="1">
      <c r="A51" s="24" t="s">
        <v>132</v>
      </c>
      <c r="B51" s="29" t="s">
        <v>55</v>
      </c>
      <c r="C51" s="30" t="s">
        <v>59</v>
      </c>
      <c r="D51" s="21"/>
      <c r="E51" s="21" t="s">
        <v>86</v>
      </c>
      <c r="F51" s="41">
        <v>43.7</v>
      </c>
      <c r="G51" s="41"/>
      <c r="H51" s="41">
        <v>83.5</v>
      </c>
      <c r="I51" s="41"/>
      <c r="J51" s="41">
        <v>172.4</v>
      </c>
      <c r="K51" s="41"/>
      <c r="L51" s="41">
        <v>88.3</v>
      </c>
      <c r="M51" s="41"/>
      <c r="N51" s="43">
        <v>26.2</v>
      </c>
      <c r="O51" s="43"/>
      <c r="P51" s="43">
        <v>120.4</v>
      </c>
      <c r="Q51" s="43"/>
    </row>
    <row r="52" spans="1:17" ht="24" customHeight="1">
      <c r="A52" s="20" t="s">
        <v>133</v>
      </c>
      <c r="B52" s="78" t="s">
        <v>256</v>
      </c>
      <c r="C52" s="79"/>
      <c r="D52" s="21"/>
      <c r="E52" s="21"/>
      <c r="F52" s="41"/>
      <c r="G52" s="41"/>
      <c r="H52" s="41"/>
      <c r="I52" s="41"/>
      <c r="J52" s="41"/>
      <c r="K52" s="41"/>
      <c r="L52" s="41"/>
      <c r="M52" s="41"/>
      <c r="N52" s="47"/>
      <c r="O52" s="47"/>
      <c r="P52" s="47"/>
      <c r="Q52" s="47"/>
    </row>
    <row r="53" spans="1:17" ht="20.25">
      <c r="A53" s="24"/>
      <c r="B53" s="27" t="s">
        <v>2</v>
      </c>
      <c r="C53" s="26" t="s">
        <v>16</v>
      </c>
      <c r="D53" s="21"/>
      <c r="E53" s="21" t="s">
        <v>86</v>
      </c>
      <c r="F53" s="62">
        <v>933.84</v>
      </c>
      <c r="G53" s="72">
        <v>106</v>
      </c>
      <c r="H53" s="62">
        <v>4790.33</v>
      </c>
      <c r="I53" s="62">
        <v>115.4</v>
      </c>
      <c r="J53" s="62">
        <v>1161.24</v>
      </c>
      <c r="K53" s="72">
        <f>SUM(J53/F53*100)</f>
        <v>124.35106656386532</v>
      </c>
      <c r="L53" s="62">
        <v>5356.4</v>
      </c>
      <c r="M53" s="72">
        <f>SUM(L53/H53*100)</f>
        <v>111.81693119263181</v>
      </c>
      <c r="N53" s="63">
        <v>1392.6</v>
      </c>
      <c r="O53" s="73">
        <f>SUM(N53/J53*100)</f>
        <v>119.92353001963419</v>
      </c>
      <c r="P53" s="63">
        <v>5837.2</v>
      </c>
      <c r="Q53" s="47"/>
    </row>
    <row r="54" spans="1:17" ht="58.5" customHeight="1">
      <c r="A54" s="24" t="s">
        <v>134</v>
      </c>
      <c r="B54" s="29" t="s">
        <v>55</v>
      </c>
      <c r="C54" s="30" t="s">
        <v>59</v>
      </c>
      <c r="D54" s="21"/>
      <c r="E54" s="21" t="s">
        <v>86</v>
      </c>
      <c r="F54" s="62">
        <v>102.1</v>
      </c>
      <c r="G54" s="62"/>
      <c r="H54" s="62">
        <v>107.5</v>
      </c>
      <c r="I54" s="62"/>
      <c r="J54" s="62">
        <v>109.8</v>
      </c>
      <c r="K54" s="72"/>
      <c r="L54" s="62">
        <v>104.9</v>
      </c>
      <c r="M54" s="72"/>
      <c r="N54" s="65">
        <v>113.9</v>
      </c>
      <c r="O54" s="73"/>
      <c r="P54" s="65">
        <v>104</v>
      </c>
      <c r="Q54" s="47"/>
    </row>
    <row r="55" spans="1:17" ht="24" customHeight="1">
      <c r="A55" s="20" t="s">
        <v>135</v>
      </c>
      <c r="B55" s="78" t="s">
        <v>257</v>
      </c>
      <c r="C55" s="79"/>
      <c r="D55" s="21"/>
      <c r="E55" s="21"/>
      <c r="F55" s="62"/>
      <c r="G55" s="62"/>
      <c r="H55" s="62"/>
      <c r="I55" s="62"/>
      <c r="J55" s="62"/>
      <c r="K55" s="72"/>
      <c r="L55" s="62"/>
      <c r="M55" s="72"/>
      <c r="N55" s="64"/>
      <c r="O55" s="73"/>
      <c r="P55" s="64"/>
      <c r="Q55" s="47"/>
    </row>
    <row r="56" spans="1:17" ht="21" customHeight="1">
      <c r="A56" s="24"/>
      <c r="B56" s="27" t="s">
        <v>2</v>
      </c>
      <c r="C56" s="26" t="s">
        <v>16</v>
      </c>
      <c r="D56" s="21"/>
      <c r="E56" s="21" t="s">
        <v>86</v>
      </c>
      <c r="F56" s="62">
        <v>460.86</v>
      </c>
      <c r="G56" s="62">
        <v>105.3</v>
      </c>
      <c r="H56" s="62">
        <v>1924.34</v>
      </c>
      <c r="I56" s="72">
        <v>105</v>
      </c>
      <c r="J56" s="62">
        <v>485.2</v>
      </c>
      <c r="K56" s="72">
        <f>SUM(J56/F56*100)</f>
        <v>105.28143036930955</v>
      </c>
      <c r="L56" s="62">
        <v>2108.4</v>
      </c>
      <c r="M56" s="72">
        <f>SUM(L56/H56*100)</f>
        <v>109.56483781452344</v>
      </c>
      <c r="N56" s="65">
        <v>534.6</v>
      </c>
      <c r="O56" s="73">
        <f>SUM(N56/J56*100)</f>
        <v>110.18136850783182</v>
      </c>
      <c r="P56" s="65">
        <v>2275.8</v>
      </c>
      <c r="Q56" s="47"/>
    </row>
    <row r="57" spans="1:17" ht="27" customHeight="1">
      <c r="A57" s="24" t="s">
        <v>136</v>
      </c>
      <c r="B57" s="29" t="s">
        <v>55</v>
      </c>
      <c r="C57" s="30" t="s">
        <v>59</v>
      </c>
      <c r="D57" s="21"/>
      <c r="E57" s="21" t="s">
        <v>86</v>
      </c>
      <c r="F57" s="62">
        <v>103.5</v>
      </c>
      <c r="G57" s="62"/>
      <c r="H57" s="62">
        <v>102.8</v>
      </c>
      <c r="I57" s="62"/>
      <c r="J57" s="62">
        <v>100.6</v>
      </c>
      <c r="K57" s="72"/>
      <c r="L57" s="62">
        <v>103.6</v>
      </c>
      <c r="M57" s="72"/>
      <c r="N57" s="65">
        <v>104.2</v>
      </c>
      <c r="O57" s="73"/>
      <c r="P57" s="65">
        <v>102.1</v>
      </c>
      <c r="Q57" s="47"/>
    </row>
    <row r="58" spans="1:17" ht="40.5" customHeight="1">
      <c r="A58" s="20" t="s">
        <v>137</v>
      </c>
      <c r="B58" s="85" t="s">
        <v>17</v>
      </c>
      <c r="C58" s="86"/>
      <c r="D58" s="21"/>
      <c r="E58" s="21"/>
      <c r="F58" s="41"/>
      <c r="G58" s="41"/>
      <c r="H58" s="41"/>
      <c r="I58" s="41"/>
      <c r="J58" s="41"/>
      <c r="K58" s="41"/>
      <c r="L58" s="41"/>
      <c r="M58" s="41"/>
      <c r="N58" s="47"/>
      <c r="O58" s="47"/>
      <c r="P58" s="47"/>
      <c r="Q58" s="47"/>
    </row>
    <row r="59" spans="1:17" s="53" customFormat="1" ht="47.25" customHeight="1">
      <c r="A59" s="51"/>
      <c r="B59" s="33" t="s">
        <v>2</v>
      </c>
      <c r="C59" s="34" t="s">
        <v>3</v>
      </c>
      <c r="D59" s="19"/>
      <c r="E59" s="19" t="s">
        <v>86</v>
      </c>
      <c r="F59" s="52">
        <v>26.4</v>
      </c>
      <c r="G59" s="56">
        <v>164</v>
      </c>
      <c r="H59" s="52">
        <v>131.9</v>
      </c>
      <c r="I59" s="54">
        <v>136.5</v>
      </c>
      <c r="J59" s="54">
        <v>30.6</v>
      </c>
      <c r="K59" s="55">
        <f>SUM(J59/F59*100)</f>
        <v>115.90909090909092</v>
      </c>
      <c r="L59" s="55">
        <f>SUM(H59*1.03*1.041)</f>
        <v>141.427137</v>
      </c>
      <c r="M59" s="55">
        <f>SUM(L59/H59*100)</f>
        <v>107.22299999999998</v>
      </c>
      <c r="N59" s="54">
        <v>35.9</v>
      </c>
      <c r="O59" s="55">
        <f>SUM(N59/J59)*100</f>
        <v>117.32026143790848</v>
      </c>
      <c r="P59" s="54">
        <f>53.29+95.16</f>
        <v>148.45</v>
      </c>
      <c r="Q59" s="55">
        <f>SUM(P59/L59)*100</f>
        <v>104.96571107141905</v>
      </c>
    </row>
    <row r="60" spans="1:17" s="53" customFormat="1" ht="42.75" customHeight="1">
      <c r="A60" s="51" t="s">
        <v>138</v>
      </c>
      <c r="B60" s="33" t="s">
        <v>85</v>
      </c>
      <c r="C60" s="34" t="s">
        <v>57</v>
      </c>
      <c r="D60" s="19"/>
      <c r="E60" s="19" t="s">
        <v>86</v>
      </c>
      <c r="F60" s="52">
        <v>156.4</v>
      </c>
      <c r="G60" s="52"/>
      <c r="H60" s="52">
        <v>131.1</v>
      </c>
      <c r="I60" s="54"/>
      <c r="J60" s="55">
        <f>SUM(J59/F59/1.041)*100</f>
        <v>111.34398742467909</v>
      </c>
      <c r="K60" s="54"/>
      <c r="L60" s="55">
        <f>SUM(L59/H59/1.041)*100</f>
        <v>102.99999999999999</v>
      </c>
      <c r="M60" s="55"/>
      <c r="N60" s="55">
        <f>SUM(N59/J59/1.087)*100</f>
        <v>107.9303233099434</v>
      </c>
      <c r="O60" s="55"/>
      <c r="P60" s="55">
        <f>SUM(Q59/1.087)</f>
        <v>96.56459160204145</v>
      </c>
      <c r="Q60" s="55"/>
    </row>
    <row r="61" spans="1:17" s="53" customFormat="1" ht="21" customHeight="1">
      <c r="A61" s="51" t="s">
        <v>139</v>
      </c>
      <c r="B61" s="33" t="s">
        <v>18</v>
      </c>
      <c r="C61" s="34" t="s">
        <v>19</v>
      </c>
      <c r="D61" s="19"/>
      <c r="E61" s="19"/>
      <c r="F61" s="52">
        <v>0.257</v>
      </c>
      <c r="G61" s="52" t="s">
        <v>246</v>
      </c>
      <c r="H61" s="52">
        <v>1.297</v>
      </c>
      <c r="I61" s="54">
        <v>194.5</v>
      </c>
      <c r="J61" s="54">
        <v>0.333</v>
      </c>
      <c r="K61" s="55">
        <f>SUM(J61/F61*100)</f>
        <v>129.57198443579767</v>
      </c>
      <c r="L61" s="54">
        <v>1.309</v>
      </c>
      <c r="M61" s="55">
        <f>SUM(L61/H61*100)</f>
        <v>100.92521202775637</v>
      </c>
      <c r="N61" s="54">
        <v>0.398</v>
      </c>
      <c r="O61" s="55">
        <f>SUM(N61/J61)*100</f>
        <v>119.51951951951952</v>
      </c>
      <c r="P61" s="54">
        <f>1400/1000</f>
        <v>1.4</v>
      </c>
      <c r="Q61" s="55">
        <f>SUM(P61/L61)*100</f>
        <v>106.95187165775401</v>
      </c>
    </row>
    <row r="62" spans="1:17" s="53" customFormat="1" ht="21" customHeight="1">
      <c r="A62" s="51" t="s">
        <v>140</v>
      </c>
      <c r="B62" s="33" t="s">
        <v>20</v>
      </c>
      <c r="C62" s="34" t="s">
        <v>19</v>
      </c>
      <c r="D62" s="19"/>
      <c r="E62" s="19"/>
      <c r="F62" s="52">
        <v>0.203</v>
      </c>
      <c r="G62" s="52">
        <v>100.9</v>
      </c>
      <c r="H62" s="52">
        <v>0.937</v>
      </c>
      <c r="I62" s="54">
        <v>114.1</v>
      </c>
      <c r="J62" s="54">
        <v>0.293</v>
      </c>
      <c r="K62" s="55">
        <f>SUM(J62/F62*100)</f>
        <v>144.3349753694581</v>
      </c>
      <c r="L62" s="54">
        <v>0.965</v>
      </c>
      <c r="M62" s="55">
        <f>SUM(L62/H62*100)</f>
        <v>102.98826040554962</v>
      </c>
      <c r="N62" s="54">
        <v>0.298</v>
      </c>
      <c r="O62" s="55">
        <f>SUM(N62/J62)*100</f>
        <v>101.70648464163823</v>
      </c>
      <c r="P62" s="54">
        <f>1270/1000</f>
        <v>1.27</v>
      </c>
      <c r="Q62" s="55">
        <f>SUM(P62/L62)*100</f>
        <v>131.60621761658032</v>
      </c>
    </row>
    <row r="63" spans="1:17" s="53" customFormat="1" ht="22.5" customHeight="1">
      <c r="A63" s="51" t="s">
        <v>141</v>
      </c>
      <c r="B63" s="33" t="s">
        <v>21</v>
      </c>
      <c r="C63" s="34" t="s">
        <v>22</v>
      </c>
      <c r="D63" s="19"/>
      <c r="E63" s="19"/>
      <c r="F63" s="52"/>
      <c r="G63" s="52"/>
      <c r="H63" s="52"/>
      <c r="I63" s="54"/>
      <c r="J63" s="54"/>
      <c r="K63" s="55"/>
      <c r="L63" s="54"/>
      <c r="M63" s="55"/>
      <c r="N63" s="54"/>
      <c r="O63" s="54"/>
      <c r="P63" s="54"/>
      <c r="Q63" s="54"/>
    </row>
    <row r="64" spans="1:17" s="53" customFormat="1" ht="18.75" customHeight="1">
      <c r="A64" s="51" t="s">
        <v>142</v>
      </c>
      <c r="B64" s="33" t="s">
        <v>23</v>
      </c>
      <c r="C64" s="34" t="s">
        <v>19</v>
      </c>
      <c r="D64" s="19"/>
      <c r="E64" s="19"/>
      <c r="F64" s="52"/>
      <c r="G64" s="52"/>
      <c r="H64" s="52"/>
      <c r="I64" s="54"/>
      <c r="J64" s="54"/>
      <c r="K64" s="55"/>
      <c r="L64" s="54"/>
      <c r="M64" s="55"/>
      <c r="N64" s="54"/>
      <c r="O64" s="54"/>
      <c r="P64" s="54"/>
      <c r="Q64" s="54"/>
    </row>
    <row r="65" spans="1:17" s="53" customFormat="1" ht="18.75" customHeight="1">
      <c r="A65" s="51" t="s">
        <v>143</v>
      </c>
      <c r="B65" s="33" t="s">
        <v>24</v>
      </c>
      <c r="C65" s="34" t="s">
        <v>19</v>
      </c>
      <c r="D65" s="19"/>
      <c r="E65" s="19"/>
      <c r="F65" s="52">
        <v>0.0037</v>
      </c>
      <c r="G65" s="52">
        <v>73.1</v>
      </c>
      <c r="H65" s="52">
        <v>0.0397</v>
      </c>
      <c r="I65" s="54">
        <v>71.3</v>
      </c>
      <c r="J65" s="54">
        <v>0.003</v>
      </c>
      <c r="K65" s="55">
        <f>SUM(J65/F65*100)</f>
        <v>81.08108108108108</v>
      </c>
      <c r="L65" s="54">
        <v>0.04</v>
      </c>
      <c r="M65" s="55">
        <f>SUM(L65/H65*100)</f>
        <v>100.75566750629723</v>
      </c>
      <c r="N65" s="57">
        <f>1.255/1000</f>
        <v>0.0012549999999999998</v>
      </c>
      <c r="O65" s="55">
        <f>SUM(N65/J65)*100</f>
        <v>41.83333333333333</v>
      </c>
      <c r="P65" s="54">
        <f>(873-838)/1000</f>
        <v>0.035</v>
      </c>
      <c r="Q65" s="55">
        <f>SUM(P65/L65)*100</f>
        <v>87.50000000000001</v>
      </c>
    </row>
    <row r="66" spans="1:17" s="53" customFormat="1" ht="24" customHeight="1">
      <c r="A66" s="51" t="s">
        <v>144</v>
      </c>
      <c r="B66" s="33" t="s">
        <v>25</v>
      </c>
      <c r="C66" s="34" t="s">
        <v>26</v>
      </c>
      <c r="D66" s="19"/>
      <c r="E66" s="19"/>
      <c r="F66" s="52">
        <v>5.51</v>
      </c>
      <c r="G66" s="52">
        <v>191.9</v>
      </c>
      <c r="H66" s="52">
        <v>7.565</v>
      </c>
      <c r="I66" s="55">
        <v>173</v>
      </c>
      <c r="J66" s="54">
        <v>8.022</v>
      </c>
      <c r="K66" s="55">
        <f>SUM(J66/F66*100)</f>
        <v>145.58983666061707</v>
      </c>
      <c r="L66" s="55">
        <v>8</v>
      </c>
      <c r="M66" s="55">
        <f>SUM(L66/H66*100)</f>
        <v>105.75016523463316</v>
      </c>
      <c r="N66" s="54">
        <v>7.787</v>
      </c>
      <c r="O66" s="55">
        <f>SUM(N66/J66)*100</f>
        <v>97.07055597107953</v>
      </c>
      <c r="P66" s="54">
        <f>8065/1000</f>
        <v>8.065</v>
      </c>
      <c r="Q66" s="55">
        <f>SUM(P66/L66)*100</f>
        <v>100.8125</v>
      </c>
    </row>
    <row r="67" spans="1:17" ht="24" customHeight="1">
      <c r="A67" s="20" t="s">
        <v>145</v>
      </c>
      <c r="B67" s="80" t="s">
        <v>67</v>
      </c>
      <c r="C67" s="79"/>
      <c r="D67" s="21"/>
      <c r="E67" s="21"/>
      <c r="F67" s="41"/>
      <c r="G67" s="41"/>
      <c r="H67" s="41"/>
      <c r="I67" s="41"/>
      <c r="J67" s="41"/>
      <c r="K67" s="41"/>
      <c r="L67" s="41"/>
      <c r="M67" s="41"/>
      <c r="N67" s="47"/>
      <c r="O67" s="47"/>
      <c r="P67" s="47"/>
      <c r="Q67" s="47"/>
    </row>
    <row r="68" spans="1:17" ht="22.5" customHeight="1">
      <c r="A68" s="24" t="s">
        <v>146</v>
      </c>
      <c r="B68" s="31" t="s">
        <v>61</v>
      </c>
      <c r="C68" s="32" t="s">
        <v>63</v>
      </c>
      <c r="D68" s="21"/>
      <c r="E68" s="21"/>
      <c r="F68" s="41"/>
      <c r="G68" s="41"/>
      <c r="H68" s="41"/>
      <c r="I68" s="41"/>
      <c r="J68" s="41"/>
      <c r="K68" s="41"/>
      <c r="L68" s="41"/>
      <c r="M68" s="41"/>
      <c r="N68" s="47"/>
      <c r="O68" s="47"/>
      <c r="P68" s="47"/>
      <c r="Q68" s="47"/>
    </row>
    <row r="69" spans="1:17" ht="42" customHeight="1">
      <c r="A69" s="24" t="s">
        <v>147</v>
      </c>
      <c r="B69" s="31" t="s">
        <v>70</v>
      </c>
      <c r="C69" s="32" t="s">
        <v>63</v>
      </c>
      <c r="D69" s="21"/>
      <c r="E69" s="21"/>
      <c r="F69" s="41">
        <v>186</v>
      </c>
      <c r="G69" s="41">
        <v>123.2</v>
      </c>
      <c r="H69" s="41">
        <v>804</v>
      </c>
      <c r="I69" s="41">
        <v>124.7</v>
      </c>
      <c r="J69" s="41">
        <v>187</v>
      </c>
      <c r="K69" s="41">
        <v>100.5</v>
      </c>
      <c r="L69" s="41">
        <v>606</v>
      </c>
      <c r="M69" s="41">
        <v>75.3</v>
      </c>
      <c r="N69" s="43">
        <v>126.5</v>
      </c>
      <c r="O69" s="44">
        <f>N69/J69*100</f>
        <v>67.64705882352942</v>
      </c>
      <c r="P69" s="43">
        <v>610</v>
      </c>
      <c r="Q69" s="44">
        <f>P69/L69*100</f>
        <v>100.66006600660067</v>
      </c>
    </row>
    <row r="70" spans="1:17" ht="20.25">
      <c r="A70" s="24" t="s">
        <v>148</v>
      </c>
      <c r="B70" s="31" t="s">
        <v>62</v>
      </c>
      <c r="C70" s="32" t="s">
        <v>63</v>
      </c>
      <c r="D70" s="21"/>
      <c r="E70" s="21"/>
      <c r="F70" s="41"/>
      <c r="G70" s="41"/>
      <c r="H70" s="41"/>
      <c r="I70" s="41"/>
      <c r="J70" s="41"/>
      <c r="K70" s="41"/>
      <c r="L70" s="41"/>
      <c r="M70" s="41"/>
      <c r="N70" s="47"/>
      <c r="O70" s="47"/>
      <c r="P70" s="47"/>
      <c r="Q70" s="47"/>
    </row>
    <row r="71" spans="1:17" ht="20.25">
      <c r="A71" s="20" t="s">
        <v>149</v>
      </c>
      <c r="B71" s="78" t="s">
        <v>27</v>
      </c>
      <c r="C71" s="79"/>
      <c r="D71" s="21"/>
      <c r="E71" s="21"/>
      <c r="F71" s="41"/>
      <c r="G71" s="41"/>
      <c r="H71" s="41"/>
      <c r="I71" s="41"/>
      <c r="J71" s="41"/>
      <c r="K71" s="41"/>
      <c r="L71" s="41"/>
      <c r="M71" s="41"/>
      <c r="N71" s="47"/>
      <c r="O71" s="47"/>
      <c r="P71" s="47"/>
      <c r="Q71" s="47"/>
    </row>
    <row r="72" spans="1:17" ht="25.5" customHeight="1">
      <c r="A72" s="24" t="s">
        <v>150</v>
      </c>
      <c r="B72" s="27" t="s">
        <v>28</v>
      </c>
      <c r="C72" s="26" t="s">
        <v>16</v>
      </c>
      <c r="D72" s="21"/>
      <c r="E72" s="21"/>
      <c r="F72" s="41">
        <v>509.8</v>
      </c>
      <c r="G72" s="41">
        <v>119.5</v>
      </c>
      <c r="H72" s="58">
        <v>3786.9</v>
      </c>
      <c r="I72" s="41">
        <v>136.8</v>
      </c>
      <c r="J72" s="41">
        <v>562.9</v>
      </c>
      <c r="K72" s="58">
        <f>J72/F72*100</f>
        <v>110.41584935268732</v>
      </c>
      <c r="L72" s="59">
        <v>3805</v>
      </c>
      <c r="M72" s="59">
        <f>L72/H72*100</f>
        <v>100.47796350576989</v>
      </c>
      <c r="N72" s="44">
        <v>422.7</v>
      </c>
      <c r="O72" s="59">
        <f>N72/J72*100</f>
        <v>75.09326701012613</v>
      </c>
      <c r="P72" s="59">
        <v>2359.9</v>
      </c>
      <c r="Q72" s="59">
        <f>P72/L72*100</f>
        <v>62.021024967148485</v>
      </c>
    </row>
    <row r="73" spans="1:17" ht="58.5" customHeight="1">
      <c r="A73" s="24" t="s">
        <v>151</v>
      </c>
      <c r="B73" s="27" t="s">
        <v>64</v>
      </c>
      <c r="C73" s="26" t="s">
        <v>16</v>
      </c>
      <c r="D73" s="21"/>
      <c r="E73" s="21"/>
      <c r="F73" s="41">
        <v>278.3</v>
      </c>
      <c r="G73" s="41">
        <v>136.9</v>
      </c>
      <c r="H73" s="58">
        <v>2692</v>
      </c>
      <c r="I73" s="41">
        <v>156.5</v>
      </c>
      <c r="J73" s="41">
        <v>294.1</v>
      </c>
      <c r="K73" s="58">
        <f>J73/F73*100</f>
        <v>105.67732662594322</v>
      </c>
      <c r="L73" s="59">
        <v>2386.9</v>
      </c>
      <c r="M73" s="59">
        <f>L73/H73*100</f>
        <v>88.6664190193165</v>
      </c>
      <c r="N73" s="44">
        <v>208.6</v>
      </c>
      <c r="O73" s="59">
        <f>N73/J73*100</f>
        <v>70.92825569534172</v>
      </c>
      <c r="P73" s="59">
        <v>1396.4</v>
      </c>
      <c r="Q73" s="59">
        <f>P73/L73*100</f>
        <v>58.502660354434624</v>
      </c>
    </row>
    <row r="74" spans="1:17" ht="21" customHeight="1">
      <c r="A74" s="24" t="s">
        <v>152</v>
      </c>
      <c r="B74" s="27" t="s">
        <v>29</v>
      </c>
      <c r="C74" s="26" t="s">
        <v>16</v>
      </c>
      <c r="D74" s="21"/>
      <c r="E74" s="21"/>
      <c r="F74" s="41">
        <v>474.2</v>
      </c>
      <c r="G74" s="41">
        <v>108.3</v>
      </c>
      <c r="H74" s="58">
        <v>3790.4</v>
      </c>
      <c r="I74" s="41">
        <v>128.9</v>
      </c>
      <c r="J74" s="41">
        <v>527</v>
      </c>
      <c r="K74" s="58">
        <f>J74/F74*100</f>
        <v>111.13454238717841</v>
      </c>
      <c r="L74" s="59">
        <v>4085</v>
      </c>
      <c r="M74" s="59">
        <f>L74/H74*100</f>
        <v>107.77226677923176</v>
      </c>
      <c r="N74" s="44">
        <v>454.2</v>
      </c>
      <c r="O74" s="59">
        <f>N74/J74*100</f>
        <v>86.18595825426945</v>
      </c>
      <c r="P74" s="59">
        <v>2501.7</v>
      </c>
      <c r="Q74" s="59">
        <f>P74/L74*100</f>
        <v>61.24112607099143</v>
      </c>
    </row>
    <row r="75" spans="1:17" ht="22.5" customHeight="1">
      <c r="A75" s="24" t="s">
        <v>153</v>
      </c>
      <c r="B75" s="27" t="s">
        <v>250</v>
      </c>
      <c r="C75" s="26" t="s">
        <v>16</v>
      </c>
      <c r="D75" s="21"/>
      <c r="E75" s="21"/>
      <c r="F75" s="41">
        <v>92.2</v>
      </c>
      <c r="G75" s="41" t="s">
        <v>248</v>
      </c>
      <c r="H75" s="41">
        <v>3457.9</v>
      </c>
      <c r="I75" s="41">
        <v>126.7</v>
      </c>
      <c r="J75" s="41">
        <v>60.6</v>
      </c>
      <c r="K75" s="42">
        <f>SUM(J75/F75*100)</f>
        <v>65.72668112798264</v>
      </c>
      <c r="L75" s="41">
        <v>3498.7</v>
      </c>
      <c r="M75" s="42">
        <f>SUM(L75/H75*100)</f>
        <v>101.1799068798982</v>
      </c>
      <c r="N75" s="45">
        <v>6596</v>
      </c>
      <c r="O75" s="46" t="s">
        <v>254</v>
      </c>
      <c r="P75" s="47"/>
      <c r="Q75" s="47"/>
    </row>
    <row r="76" spans="1:17" ht="22.5" customHeight="1">
      <c r="A76" s="24" t="s">
        <v>154</v>
      </c>
      <c r="B76" s="27" t="s">
        <v>251</v>
      </c>
      <c r="C76" s="26" t="s">
        <v>16</v>
      </c>
      <c r="D76" s="21"/>
      <c r="E76" s="21"/>
      <c r="F76" s="41">
        <v>67511.6</v>
      </c>
      <c r="G76" s="41">
        <v>98.2</v>
      </c>
      <c r="H76" s="41">
        <v>41725.2</v>
      </c>
      <c r="I76" s="41">
        <v>65.5</v>
      </c>
      <c r="J76" s="41">
        <v>45025.5</v>
      </c>
      <c r="K76" s="42">
        <f>SUM(J76/F76*100)</f>
        <v>66.69298313178771</v>
      </c>
      <c r="L76" s="41">
        <v>35977.9</v>
      </c>
      <c r="M76" s="42">
        <f>SUM(L76/H76*100)</f>
        <v>86.22582995408051</v>
      </c>
      <c r="N76" s="45">
        <v>30672.6</v>
      </c>
      <c r="O76" s="46">
        <f>SUM(N76/J76)*100</f>
        <v>68.12273045274344</v>
      </c>
      <c r="P76" s="47"/>
      <c r="Q76" s="47"/>
    </row>
    <row r="77" spans="1:17" ht="18.75" customHeight="1">
      <c r="A77" s="24" t="s">
        <v>155</v>
      </c>
      <c r="B77" s="27" t="s">
        <v>100</v>
      </c>
      <c r="C77" s="26" t="s">
        <v>16</v>
      </c>
      <c r="D77" s="21"/>
      <c r="E77" s="21"/>
      <c r="F77" s="41">
        <v>426.6</v>
      </c>
      <c r="G77" s="41">
        <v>115.9</v>
      </c>
      <c r="H77" s="41">
        <v>1011.5</v>
      </c>
      <c r="I77" s="41">
        <v>110.7</v>
      </c>
      <c r="J77" s="41">
        <v>3083.3</v>
      </c>
      <c r="K77" s="42">
        <f>SUM(J77/F77*100)</f>
        <v>722.7613689639006</v>
      </c>
      <c r="L77" s="41">
        <v>652.8</v>
      </c>
      <c r="M77" s="42">
        <f>SUM(L77/H77*100)</f>
        <v>64.53781512605042</v>
      </c>
      <c r="N77" s="45">
        <v>759.3</v>
      </c>
      <c r="O77" s="46">
        <f>SUM(N77/J77)*100</f>
        <v>24.626212175266758</v>
      </c>
      <c r="P77" s="47"/>
      <c r="Q77" s="47"/>
    </row>
    <row r="78" spans="1:17" ht="27" customHeight="1">
      <c r="A78" s="24" t="s">
        <v>156</v>
      </c>
      <c r="B78" s="27" t="s">
        <v>252</v>
      </c>
      <c r="C78" s="26" t="s">
        <v>16</v>
      </c>
      <c r="D78" s="21"/>
      <c r="E78" s="21"/>
      <c r="F78" s="41">
        <v>57731.2</v>
      </c>
      <c r="G78" s="41">
        <v>101.3</v>
      </c>
      <c r="H78" s="41">
        <v>47721.4</v>
      </c>
      <c r="I78" s="41">
        <v>87.9</v>
      </c>
      <c r="J78" s="41">
        <v>52582.2</v>
      </c>
      <c r="K78" s="42">
        <f>SUM(J78/F78*100)</f>
        <v>91.08107920846959</v>
      </c>
      <c r="L78" s="41">
        <v>44008.1</v>
      </c>
      <c r="M78" s="42">
        <f>SUM(L78/H78*100)</f>
        <v>92.21879492219422</v>
      </c>
      <c r="N78" s="45">
        <v>48213.5</v>
      </c>
      <c r="O78" s="46">
        <f>SUM(N78/J78)*100</f>
        <v>91.6916751296066</v>
      </c>
      <c r="P78" s="47"/>
      <c r="Q78" s="47"/>
    </row>
    <row r="79" spans="1:17" ht="19.5" customHeight="1">
      <c r="A79" s="24" t="s">
        <v>157</v>
      </c>
      <c r="B79" s="27" t="s">
        <v>100</v>
      </c>
      <c r="C79" s="26" t="s">
        <v>16</v>
      </c>
      <c r="D79" s="21"/>
      <c r="E79" s="21"/>
      <c r="F79" s="41">
        <v>25725.7</v>
      </c>
      <c r="G79" s="41" t="s">
        <v>249</v>
      </c>
      <c r="H79" s="41">
        <v>12140.9</v>
      </c>
      <c r="I79" s="41">
        <v>40.3</v>
      </c>
      <c r="J79" s="41">
        <v>18357</v>
      </c>
      <c r="K79" s="42">
        <f>SUM(J79/F79*100)</f>
        <v>71.35665890529704</v>
      </c>
      <c r="L79" s="41">
        <v>11997.4</v>
      </c>
      <c r="M79" s="42">
        <f>SUM(L79/H79*100)</f>
        <v>98.81804479074863</v>
      </c>
      <c r="N79" s="45">
        <v>12030.8</v>
      </c>
      <c r="O79" s="46">
        <f>SUM(N79/J79)*100</f>
        <v>65.53794192950917</v>
      </c>
      <c r="P79" s="47"/>
      <c r="Q79" s="47"/>
    </row>
    <row r="80" spans="1:17" ht="21.75" customHeight="1">
      <c r="A80" s="20" t="s">
        <v>158</v>
      </c>
      <c r="B80" s="78" t="s">
        <v>241</v>
      </c>
      <c r="C80" s="79"/>
      <c r="D80" s="21"/>
      <c r="E80" s="21"/>
      <c r="F80" s="41"/>
      <c r="G80" s="41"/>
      <c r="H80" s="41"/>
      <c r="I80" s="41"/>
      <c r="J80" s="41"/>
      <c r="K80" s="41"/>
      <c r="L80" s="41"/>
      <c r="M80" s="41"/>
      <c r="N80" s="47"/>
      <c r="O80" s="47"/>
      <c r="P80" s="47"/>
      <c r="Q80" s="47"/>
    </row>
    <row r="81" spans="1:17" ht="22.5" customHeight="1">
      <c r="A81" s="24" t="s">
        <v>159</v>
      </c>
      <c r="B81" s="27" t="s">
        <v>48</v>
      </c>
      <c r="C81" s="26" t="s">
        <v>30</v>
      </c>
      <c r="D81" s="21"/>
      <c r="E81" s="21"/>
      <c r="F81" s="41">
        <v>3.8</v>
      </c>
      <c r="G81" s="41" t="s">
        <v>247</v>
      </c>
      <c r="H81" s="41">
        <v>23.6</v>
      </c>
      <c r="I81" s="41">
        <v>43.5</v>
      </c>
      <c r="J81" s="41">
        <v>2.7</v>
      </c>
      <c r="K81" s="41">
        <v>71.1</v>
      </c>
      <c r="L81" s="41">
        <v>41.2</v>
      </c>
      <c r="M81" s="41">
        <v>174.6</v>
      </c>
      <c r="N81" s="45">
        <v>2.1</v>
      </c>
      <c r="O81" s="45">
        <v>77.8</v>
      </c>
      <c r="P81" s="45">
        <v>37.9</v>
      </c>
      <c r="Q81" s="45">
        <v>92</v>
      </c>
    </row>
    <row r="82" spans="1:17" ht="19.5" customHeight="1">
      <c r="A82" s="24" t="s">
        <v>160</v>
      </c>
      <c r="B82" s="27" t="s">
        <v>31</v>
      </c>
      <c r="C82" s="26" t="s">
        <v>32</v>
      </c>
      <c r="D82" s="21"/>
      <c r="E82" s="21"/>
      <c r="F82" s="41"/>
      <c r="G82" s="41"/>
      <c r="H82" s="41"/>
      <c r="I82" s="41"/>
      <c r="J82" s="41"/>
      <c r="K82" s="41"/>
      <c r="L82" s="41"/>
      <c r="M82" s="41"/>
      <c r="N82" s="47"/>
      <c r="O82" s="47"/>
      <c r="P82" s="47"/>
      <c r="Q82" s="47"/>
    </row>
    <row r="83" spans="1:17" ht="21.75" customHeight="1">
      <c r="A83" s="24" t="s">
        <v>161</v>
      </c>
      <c r="B83" s="27" t="s">
        <v>33</v>
      </c>
      <c r="C83" s="26" t="s">
        <v>34</v>
      </c>
      <c r="D83" s="21"/>
      <c r="E83" s="21"/>
      <c r="F83" s="41"/>
      <c r="G83" s="41"/>
      <c r="H83" s="41"/>
      <c r="I83" s="41"/>
      <c r="J83" s="41"/>
      <c r="K83" s="41"/>
      <c r="L83" s="41"/>
      <c r="M83" s="41"/>
      <c r="N83" s="47"/>
      <c r="O83" s="47"/>
      <c r="P83" s="47"/>
      <c r="Q83" s="47"/>
    </row>
    <row r="84" spans="1:17" ht="18.75" customHeight="1">
      <c r="A84" s="24" t="s">
        <v>162</v>
      </c>
      <c r="B84" s="27" t="s">
        <v>35</v>
      </c>
      <c r="C84" s="26" t="s">
        <v>36</v>
      </c>
      <c r="D84" s="21"/>
      <c r="E84" s="21"/>
      <c r="F84" s="41"/>
      <c r="G84" s="41"/>
      <c r="H84" s="41"/>
      <c r="I84" s="41"/>
      <c r="J84" s="41"/>
      <c r="K84" s="41"/>
      <c r="L84" s="41"/>
      <c r="M84" s="41"/>
      <c r="N84" s="47"/>
      <c r="O84" s="47"/>
      <c r="P84" s="47"/>
      <c r="Q84" s="47"/>
    </row>
    <row r="85" spans="1:17" ht="19.5" customHeight="1">
      <c r="A85" s="24" t="s">
        <v>163</v>
      </c>
      <c r="B85" s="27" t="s">
        <v>37</v>
      </c>
      <c r="C85" s="26" t="s">
        <v>38</v>
      </c>
      <c r="D85" s="21"/>
      <c r="E85" s="21"/>
      <c r="F85" s="41"/>
      <c r="G85" s="41"/>
      <c r="H85" s="41"/>
      <c r="I85" s="41"/>
      <c r="J85" s="41"/>
      <c r="K85" s="41"/>
      <c r="L85" s="41"/>
      <c r="M85" s="41"/>
      <c r="N85" s="47"/>
      <c r="O85" s="47"/>
      <c r="P85" s="47"/>
      <c r="Q85" s="47"/>
    </row>
    <row r="86" spans="1:17" ht="21.75" customHeight="1">
      <c r="A86" s="20" t="s">
        <v>164</v>
      </c>
      <c r="B86" s="78" t="s">
        <v>71</v>
      </c>
      <c r="C86" s="79"/>
      <c r="D86" s="21"/>
      <c r="E86" s="21"/>
      <c r="F86" s="41"/>
      <c r="G86" s="41"/>
      <c r="H86" s="41"/>
      <c r="I86" s="41"/>
      <c r="J86" s="41"/>
      <c r="K86" s="41"/>
      <c r="L86" s="41"/>
      <c r="M86" s="41"/>
      <c r="N86" s="47"/>
      <c r="O86" s="47"/>
      <c r="P86" s="47"/>
      <c r="Q86" s="47"/>
    </row>
    <row r="87" spans="1:17" ht="38.25" customHeight="1">
      <c r="A87" s="24" t="s">
        <v>165</v>
      </c>
      <c r="B87" s="33" t="s">
        <v>80</v>
      </c>
      <c r="C87" s="26" t="s">
        <v>49</v>
      </c>
      <c r="D87" s="21"/>
      <c r="E87" s="21"/>
      <c r="F87" s="66">
        <v>6</v>
      </c>
      <c r="G87" s="67">
        <v>1</v>
      </c>
      <c r="H87" s="66">
        <v>7</v>
      </c>
      <c r="I87" s="67">
        <v>1.167</v>
      </c>
      <c r="J87" s="66">
        <v>7</v>
      </c>
      <c r="K87" s="67">
        <f>J87/F87</f>
        <v>1.1666666666666667</v>
      </c>
      <c r="L87" s="66">
        <v>7</v>
      </c>
      <c r="M87" s="67">
        <f>L87/H87</f>
        <v>1</v>
      </c>
      <c r="N87" s="66">
        <v>7</v>
      </c>
      <c r="O87" s="67">
        <f>N87/J87</f>
        <v>1</v>
      </c>
      <c r="P87" s="66">
        <v>7</v>
      </c>
      <c r="Q87" s="67">
        <f>P87/L87</f>
        <v>1</v>
      </c>
    </row>
    <row r="88" spans="1:17" ht="39.75" customHeight="1">
      <c r="A88" s="24" t="s">
        <v>166</v>
      </c>
      <c r="B88" s="35" t="s">
        <v>81</v>
      </c>
      <c r="C88" s="26" t="s">
        <v>49</v>
      </c>
      <c r="D88" s="21"/>
      <c r="E88" s="21"/>
      <c r="F88" s="66">
        <v>4</v>
      </c>
      <c r="G88" s="67">
        <v>1</v>
      </c>
      <c r="H88" s="66">
        <v>5</v>
      </c>
      <c r="I88" s="67">
        <v>1.25</v>
      </c>
      <c r="J88" s="66">
        <v>5</v>
      </c>
      <c r="K88" s="67">
        <f aca="true" t="shared" si="4" ref="K88:K95">J88/F88</f>
        <v>1.25</v>
      </c>
      <c r="L88" s="66">
        <v>5</v>
      </c>
      <c r="M88" s="67">
        <f>L88/H88</f>
        <v>1</v>
      </c>
      <c r="N88" s="66">
        <v>5</v>
      </c>
      <c r="O88" s="67">
        <f aca="true" t="shared" si="5" ref="O88:O95">N88/J88</f>
        <v>1</v>
      </c>
      <c r="P88" s="66">
        <v>5</v>
      </c>
      <c r="Q88" s="67">
        <f aca="true" t="shared" si="6" ref="Q88:Q95">P88/L88</f>
        <v>1</v>
      </c>
    </row>
    <row r="89" spans="1:17" ht="39" customHeight="1">
      <c r="A89" s="24" t="s">
        <v>167</v>
      </c>
      <c r="B89" s="36" t="s">
        <v>83</v>
      </c>
      <c r="C89" s="26" t="s">
        <v>49</v>
      </c>
      <c r="D89" s="21"/>
      <c r="E89" s="21"/>
      <c r="F89" s="66">
        <v>1</v>
      </c>
      <c r="G89" s="67">
        <v>1</v>
      </c>
      <c r="H89" s="66">
        <v>2</v>
      </c>
      <c r="I89" s="67">
        <v>2</v>
      </c>
      <c r="J89" s="66">
        <v>2</v>
      </c>
      <c r="K89" s="67">
        <f t="shared" si="4"/>
        <v>2</v>
      </c>
      <c r="L89" s="66">
        <v>2</v>
      </c>
      <c r="M89" s="67">
        <f>L89/H89</f>
        <v>1</v>
      </c>
      <c r="N89" s="66">
        <v>2</v>
      </c>
      <c r="O89" s="67">
        <f t="shared" si="5"/>
        <v>1</v>
      </c>
      <c r="P89" s="66">
        <v>2</v>
      </c>
      <c r="Q89" s="67">
        <f t="shared" si="6"/>
        <v>1</v>
      </c>
    </row>
    <row r="90" spans="1:17" ht="37.5" customHeight="1">
      <c r="A90" s="24" t="s">
        <v>168</v>
      </c>
      <c r="B90" s="37" t="s">
        <v>82</v>
      </c>
      <c r="C90" s="26" t="s">
        <v>49</v>
      </c>
      <c r="D90" s="21"/>
      <c r="E90" s="21"/>
      <c r="F90" s="66">
        <v>2</v>
      </c>
      <c r="G90" s="67">
        <v>1</v>
      </c>
      <c r="H90" s="66">
        <v>2</v>
      </c>
      <c r="I90" s="67">
        <v>1</v>
      </c>
      <c r="J90" s="66">
        <v>2</v>
      </c>
      <c r="K90" s="67">
        <f t="shared" si="4"/>
        <v>1</v>
      </c>
      <c r="L90" s="66">
        <v>2</v>
      </c>
      <c r="M90" s="67">
        <f>L90/H90</f>
        <v>1</v>
      </c>
      <c r="N90" s="66">
        <v>2</v>
      </c>
      <c r="O90" s="67">
        <f t="shared" si="5"/>
        <v>1</v>
      </c>
      <c r="P90" s="66">
        <v>2</v>
      </c>
      <c r="Q90" s="67">
        <f t="shared" si="6"/>
        <v>1</v>
      </c>
    </row>
    <row r="91" spans="1:17" ht="40.5" customHeight="1">
      <c r="A91" s="24" t="s">
        <v>169</v>
      </c>
      <c r="B91" s="36" t="s">
        <v>83</v>
      </c>
      <c r="C91" s="26" t="s">
        <v>49</v>
      </c>
      <c r="D91" s="21"/>
      <c r="E91" s="21"/>
      <c r="F91" s="66"/>
      <c r="G91" s="67"/>
      <c r="H91" s="66"/>
      <c r="I91" s="67"/>
      <c r="J91" s="68"/>
      <c r="K91" s="67"/>
      <c r="L91" s="66"/>
      <c r="M91" s="67"/>
      <c r="N91" s="68"/>
      <c r="O91" s="67"/>
      <c r="P91" s="68"/>
      <c r="Q91" s="67"/>
    </row>
    <row r="92" spans="1:17" ht="41.25" customHeight="1">
      <c r="A92" s="24" t="s">
        <v>170</v>
      </c>
      <c r="B92" s="27" t="s">
        <v>50</v>
      </c>
      <c r="C92" s="26" t="s">
        <v>7</v>
      </c>
      <c r="D92" s="21"/>
      <c r="E92" s="21" t="s">
        <v>86</v>
      </c>
      <c r="F92" s="66">
        <v>100</v>
      </c>
      <c r="G92" s="67"/>
      <c r="H92" s="66">
        <v>100</v>
      </c>
      <c r="I92" s="67"/>
      <c r="J92" s="68">
        <v>100</v>
      </c>
      <c r="K92" s="67"/>
      <c r="L92" s="66">
        <v>100</v>
      </c>
      <c r="M92" s="67"/>
      <c r="N92" s="68">
        <v>100</v>
      </c>
      <c r="O92" s="67"/>
      <c r="P92" s="68"/>
      <c r="Q92" s="67"/>
    </row>
    <row r="93" spans="1:17" ht="24" customHeight="1">
      <c r="A93" s="24" t="s">
        <v>171</v>
      </c>
      <c r="B93" s="27" t="s">
        <v>51</v>
      </c>
      <c r="C93" s="26" t="s">
        <v>3</v>
      </c>
      <c r="D93" s="21"/>
      <c r="E93" s="21"/>
      <c r="F93" s="66">
        <v>223.7</v>
      </c>
      <c r="G93" s="67">
        <v>1.13</v>
      </c>
      <c r="H93" s="66">
        <v>275.41</v>
      </c>
      <c r="I93" s="67">
        <v>1.134</v>
      </c>
      <c r="J93" s="68">
        <v>339.7</v>
      </c>
      <c r="K93" s="67">
        <f t="shared" si="4"/>
        <v>1.5185516316495307</v>
      </c>
      <c r="L93" s="69">
        <v>399.09</v>
      </c>
      <c r="M93" s="67">
        <f>L93/H93</f>
        <v>1.449075923169093</v>
      </c>
      <c r="N93" s="68">
        <v>360</v>
      </c>
      <c r="O93" s="67">
        <f t="shared" si="5"/>
        <v>1.0597586105387107</v>
      </c>
      <c r="P93" s="68">
        <v>360</v>
      </c>
      <c r="Q93" s="67">
        <f t="shared" si="6"/>
        <v>0.9020521686837556</v>
      </c>
    </row>
    <row r="94" spans="1:17" ht="39.75" customHeight="1">
      <c r="A94" s="24" t="s">
        <v>172</v>
      </c>
      <c r="B94" s="27" t="s">
        <v>52</v>
      </c>
      <c r="C94" s="26" t="s">
        <v>7</v>
      </c>
      <c r="D94" s="21"/>
      <c r="E94" s="21" t="s">
        <v>86</v>
      </c>
      <c r="F94" s="66">
        <v>53</v>
      </c>
      <c r="G94" s="67">
        <v>0.994</v>
      </c>
      <c r="H94" s="69">
        <f>133.163/H93*100</f>
        <v>48.35082241022475</v>
      </c>
      <c r="I94" s="67">
        <v>0.932</v>
      </c>
      <c r="J94" s="70">
        <f>131.05/J93*100</f>
        <v>38.57815719752723</v>
      </c>
      <c r="K94" s="67">
        <f t="shared" si="4"/>
        <v>0.72788975844391</v>
      </c>
      <c r="L94" s="70">
        <f>183.93/L93*100</f>
        <v>46.08734871833421</v>
      </c>
      <c r="M94" s="67">
        <f>L94/H94</f>
        <v>0.9531864489773005</v>
      </c>
      <c r="N94" s="70">
        <f>175.3/N93*100</f>
        <v>48.69444444444444</v>
      </c>
      <c r="O94" s="67">
        <f t="shared" si="5"/>
        <v>1.2622283691551146</v>
      </c>
      <c r="P94" s="70">
        <f>175/P93*100</f>
        <v>48.61111111111111</v>
      </c>
      <c r="Q94" s="67">
        <f t="shared" si="6"/>
        <v>1.054760416100328</v>
      </c>
    </row>
    <row r="95" spans="1:17" ht="39.75" customHeight="1">
      <c r="A95" s="24" t="s">
        <v>173</v>
      </c>
      <c r="B95" s="38" t="s">
        <v>65</v>
      </c>
      <c r="C95" s="26" t="s">
        <v>3</v>
      </c>
      <c r="D95" s="21"/>
      <c r="E95" s="21"/>
      <c r="F95" s="66">
        <v>6.45</v>
      </c>
      <c r="G95" s="67">
        <v>1.197</v>
      </c>
      <c r="H95" s="66">
        <v>25.81</v>
      </c>
      <c r="I95" s="67">
        <v>0.997</v>
      </c>
      <c r="J95" s="68">
        <v>6.33</v>
      </c>
      <c r="K95" s="67">
        <f t="shared" si="4"/>
        <v>0.9813953488372092</v>
      </c>
      <c r="L95" s="66">
        <v>24</v>
      </c>
      <c r="M95" s="67">
        <f>L95/H95</f>
        <v>0.9298721425803952</v>
      </c>
      <c r="N95" s="68">
        <v>4.51</v>
      </c>
      <c r="O95" s="67">
        <f t="shared" si="5"/>
        <v>0.7124802527646129</v>
      </c>
      <c r="P95" s="68">
        <v>26</v>
      </c>
      <c r="Q95" s="67">
        <f t="shared" si="6"/>
        <v>1.0833333333333333</v>
      </c>
    </row>
    <row r="96" spans="1:17" ht="57.75" customHeight="1">
      <c r="A96" s="24" t="s">
        <v>174</v>
      </c>
      <c r="B96" s="39" t="s">
        <v>89</v>
      </c>
      <c r="C96" s="34" t="s">
        <v>7</v>
      </c>
      <c r="D96" s="21"/>
      <c r="E96" s="21"/>
      <c r="F96" s="66">
        <v>100</v>
      </c>
      <c r="G96" s="67" t="s">
        <v>86</v>
      </c>
      <c r="H96" s="66">
        <v>99.8</v>
      </c>
      <c r="I96" s="67" t="s">
        <v>86</v>
      </c>
      <c r="J96" s="68">
        <v>100</v>
      </c>
      <c r="K96" s="67" t="s">
        <v>86</v>
      </c>
      <c r="L96" s="66">
        <v>99.8</v>
      </c>
      <c r="M96" s="67" t="s">
        <v>86</v>
      </c>
      <c r="N96" s="68">
        <v>100</v>
      </c>
      <c r="O96" s="67" t="s">
        <v>86</v>
      </c>
      <c r="P96" s="68">
        <v>99.9</v>
      </c>
      <c r="Q96" s="67" t="s">
        <v>86</v>
      </c>
    </row>
    <row r="97" spans="1:17" ht="54.75" customHeight="1">
      <c r="A97" s="24" t="s">
        <v>175</v>
      </c>
      <c r="B97" s="39" t="s">
        <v>97</v>
      </c>
      <c r="C97" s="34" t="s">
        <v>49</v>
      </c>
      <c r="D97" s="21"/>
      <c r="E97" s="21"/>
      <c r="F97" s="66">
        <v>745</v>
      </c>
      <c r="G97" s="67" t="s">
        <v>86</v>
      </c>
      <c r="H97" s="66">
        <v>921</v>
      </c>
      <c r="I97" s="67" t="s">
        <v>86</v>
      </c>
      <c r="J97" s="68">
        <v>705</v>
      </c>
      <c r="K97" s="67" t="s">
        <v>86</v>
      </c>
      <c r="L97" s="66">
        <v>960</v>
      </c>
      <c r="M97" s="67" t="s">
        <v>86</v>
      </c>
      <c r="N97" s="68">
        <v>745</v>
      </c>
      <c r="O97" s="67" t="s">
        <v>86</v>
      </c>
      <c r="P97" s="68">
        <v>745</v>
      </c>
      <c r="Q97" s="67" t="s">
        <v>86</v>
      </c>
    </row>
    <row r="98" spans="1:17" ht="79.5" customHeight="1">
      <c r="A98" s="24" t="s">
        <v>176</v>
      </c>
      <c r="B98" s="39" t="s">
        <v>98</v>
      </c>
      <c r="C98" s="34" t="s">
        <v>79</v>
      </c>
      <c r="D98" s="21"/>
      <c r="E98" s="21"/>
      <c r="F98" s="66">
        <v>1535</v>
      </c>
      <c r="G98" s="67" t="s">
        <v>86</v>
      </c>
      <c r="H98" s="66">
        <v>1533</v>
      </c>
      <c r="I98" s="67" t="s">
        <v>86</v>
      </c>
      <c r="J98" s="68">
        <v>1564</v>
      </c>
      <c r="K98" s="67" t="s">
        <v>86</v>
      </c>
      <c r="L98" s="66">
        <v>1544</v>
      </c>
      <c r="M98" s="67" t="s">
        <v>86</v>
      </c>
      <c r="N98" s="68">
        <v>1750</v>
      </c>
      <c r="O98" s="67" t="s">
        <v>86</v>
      </c>
      <c r="P98" s="68">
        <v>1750</v>
      </c>
      <c r="Q98" s="67" t="s">
        <v>86</v>
      </c>
    </row>
    <row r="99" spans="1:17" s="4" customFormat="1" ht="134.25" customHeight="1">
      <c r="A99" s="24" t="s">
        <v>177</v>
      </c>
      <c r="B99" s="33" t="s">
        <v>90</v>
      </c>
      <c r="C99" s="34" t="s">
        <v>7</v>
      </c>
      <c r="D99" s="40"/>
      <c r="E99" s="40"/>
      <c r="F99" s="66">
        <v>84.2</v>
      </c>
      <c r="G99" s="67" t="s">
        <v>86</v>
      </c>
      <c r="H99" s="66">
        <v>84.9</v>
      </c>
      <c r="I99" s="67" t="s">
        <v>86</v>
      </c>
      <c r="J99" s="68">
        <f>H99</f>
        <v>84.9</v>
      </c>
      <c r="K99" s="67" t="s">
        <v>86</v>
      </c>
      <c r="L99" s="66">
        <v>84.9</v>
      </c>
      <c r="M99" s="67" t="s">
        <v>86</v>
      </c>
      <c r="N99" s="68">
        <f>J99</f>
        <v>84.9</v>
      </c>
      <c r="O99" s="67" t="s">
        <v>86</v>
      </c>
      <c r="P99" s="68">
        <f>J99</f>
        <v>84.9</v>
      </c>
      <c r="Q99" s="67" t="s">
        <v>86</v>
      </c>
    </row>
    <row r="100" spans="1:17" s="4" customFormat="1" ht="38.25" customHeight="1">
      <c r="A100" s="24" t="s">
        <v>178</v>
      </c>
      <c r="B100" s="27" t="s">
        <v>91</v>
      </c>
      <c r="C100" s="26" t="s">
        <v>7</v>
      </c>
      <c r="D100" s="40"/>
      <c r="E100" s="40"/>
      <c r="F100" s="66">
        <v>96.5</v>
      </c>
      <c r="G100" s="67" t="s">
        <v>86</v>
      </c>
      <c r="H100" s="66">
        <f>964.1/964.1*100</f>
        <v>100</v>
      </c>
      <c r="I100" s="67" t="s">
        <v>86</v>
      </c>
      <c r="J100" s="68">
        <f>H100</f>
        <v>100</v>
      </c>
      <c r="K100" s="67" t="s">
        <v>86</v>
      </c>
      <c r="L100" s="66">
        <f>964.1/964.1*100</f>
        <v>100</v>
      </c>
      <c r="M100" s="67" t="s">
        <v>86</v>
      </c>
      <c r="N100" s="68">
        <f>J100</f>
        <v>100</v>
      </c>
      <c r="O100" s="67" t="s">
        <v>86</v>
      </c>
      <c r="P100" s="68">
        <f aca="true" t="shared" si="7" ref="P100:P106">J100</f>
        <v>100</v>
      </c>
      <c r="Q100" s="67" t="s">
        <v>86</v>
      </c>
    </row>
    <row r="101" spans="1:17" s="4" customFormat="1" ht="39.75" customHeight="1">
      <c r="A101" s="24" t="s">
        <v>179</v>
      </c>
      <c r="B101" s="27" t="s">
        <v>92</v>
      </c>
      <c r="C101" s="26" t="s">
        <v>7</v>
      </c>
      <c r="D101" s="40"/>
      <c r="E101" s="40"/>
      <c r="F101" s="66">
        <v>90.6</v>
      </c>
      <c r="G101" s="67" t="s">
        <v>86</v>
      </c>
      <c r="H101" s="69">
        <f>875/964.1*100</f>
        <v>90.7582201016492</v>
      </c>
      <c r="I101" s="67" t="s">
        <v>86</v>
      </c>
      <c r="J101" s="70">
        <f aca="true" t="shared" si="8" ref="J101:J106">H101</f>
        <v>90.7582201016492</v>
      </c>
      <c r="K101" s="67" t="s">
        <v>86</v>
      </c>
      <c r="L101" s="69">
        <v>90.96</v>
      </c>
      <c r="M101" s="67" t="s">
        <v>86</v>
      </c>
      <c r="N101" s="70">
        <f aca="true" t="shared" si="9" ref="N101:N106">L101</f>
        <v>90.96</v>
      </c>
      <c r="O101" s="67" t="s">
        <v>86</v>
      </c>
      <c r="P101" s="70">
        <f t="shared" si="7"/>
        <v>90.7582201016492</v>
      </c>
      <c r="Q101" s="67" t="s">
        <v>86</v>
      </c>
    </row>
    <row r="102" spans="1:17" s="4" customFormat="1" ht="40.5" customHeight="1">
      <c r="A102" s="24" t="s">
        <v>180</v>
      </c>
      <c r="B102" s="27" t="s">
        <v>93</v>
      </c>
      <c r="C102" s="26" t="s">
        <v>7</v>
      </c>
      <c r="D102" s="40"/>
      <c r="E102" s="40"/>
      <c r="F102" s="66">
        <v>97</v>
      </c>
      <c r="G102" s="67" t="s">
        <v>86</v>
      </c>
      <c r="H102" s="69">
        <f>939/964.1*100</f>
        <v>97.39653562908411</v>
      </c>
      <c r="I102" s="67" t="s">
        <v>86</v>
      </c>
      <c r="J102" s="70">
        <f t="shared" si="8"/>
        <v>97.39653562908411</v>
      </c>
      <c r="K102" s="67" t="s">
        <v>86</v>
      </c>
      <c r="L102" s="69">
        <f>939/964.1*100</f>
        <v>97.39653562908411</v>
      </c>
      <c r="M102" s="67" t="s">
        <v>86</v>
      </c>
      <c r="N102" s="70">
        <f t="shared" si="9"/>
        <v>97.39653562908411</v>
      </c>
      <c r="O102" s="67" t="s">
        <v>86</v>
      </c>
      <c r="P102" s="70">
        <f t="shared" si="7"/>
        <v>97.39653562908411</v>
      </c>
      <c r="Q102" s="67" t="s">
        <v>86</v>
      </c>
    </row>
    <row r="103" spans="1:17" s="4" customFormat="1" ht="38.25" customHeight="1">
      <c r="A103" s="24" t="s">
        <v>181</v>
      </c>
      <c r="B103" s="27" t="s">
        <v>94</v>
      </c>
      <c r="C103" s="26" t="s">
        <v>7</v>
      </c>
      <c r="D103" s="40"/>
      <c r="E103" s="40"/>
      <c r="F103" s="66">
        <v>82.9</v>
      </c>
      <c r="G103" s="67" t="s">
        <v>86</v>
      </c>
      <c r="H103" s="69">
        <f>805.3/964.1*100</f>
        <v>83.52867959755211</v>
      </c>
      <c r="I103" s="67" t="s">
        <v>86</v>
      </c>
      <c r="J103" s="70">
        <f t="shared" si="8"/>
        <v>83.52867959755211</v>
      </c>
      <c r="K103" s="67" t="s">
        <v>86</v>
      </c>
      <c r="L103" s="69">
        <f>828.8/986.9*100</f>
        <v>83.98013983179654</v>
      </c>
      <c r="M103" s="67" t="s">
        <v>86</v>
      </c>
      <c r="N103" s="70">
        <f t="shared" si="9"/>
        <v>83.98013983179654</v>
      </c>
      <c r="O103" s="67" t="s">
        <v>86</v>
      </c>
      <c r="P103" s="70">
        <f t="shared" si="7"/>
        <v>83.52867959755211</v>
      </c>
      <c r="Q103" s="67" t="s">
        <v>86</v>
      </c>
    </row>
    <row r="104" spans="1:17" s="4" customFormat="1" ht="24.75" customHeight="1">
      <c r="A104" s="24" t="s">
        <v>182</v>
      </c>
      <c r="B104" s="27" t="s">
        <v>95</v>
      </c>
      <c r="C104" s="26" t="s">
        <v>7</v>
      </c>
      <c r="D104" s="40"/>
      <c r="E104" s="40"/>
      <c r="F104" s="66">
        <v>97.8</v>
      </c>
      <c r="G104" s="67" t="s">
        <v>86</v>
      </c>
      <c r="H104" s="69">
        <f>947/964.1*100</f>
        <v>98.22632507001349</v>
      </c>
      <c r="I104" s="67" t="s">
        <v>86</v>
      </c>
      <c r="J104" s="70">
        <f t="shared" si="8"/>
        <v>98.22632507001349</v>
      </c>
      <c r="K104" s="67" t="s">
        <v>86</v>
      </c>
      <c r="L104" s="69">
        <f>947/964.1*100</f>
        <v>98.22632507001349</v>
      </c>
      <c r="M104" s="67" t="s">
        <v>86</v>
      </c>
      <c r="N104" s="70">
        <f t="shared" si="9"/>
        <v>98.22632507001349</v>
      </c>
      <c r="O104" s="67" t="s">
        <v>86</v>
      </c>
      <c r="P104" s="70">
        <f t="shared" si="7"/>
        <v>98.22632507001349</v>
      </c>
      <c r="Q104" s="67" t="s">
        <v>86</v>
      </c>
    </row>
    <row r="105" spans="1:17" s="4" customFormat="1" ht="39.75" customHeight="1">
      <c r="A105" s="24" t="s">
        <v>183</v>
      </c>
      <c r="B105" s="27" t="s">
        <v>99</v>
      </c>
      <c r="C105" s="26" t="s">
        <v>7</v>
      </c>
      <c r="D105" s="40"/>
      <c r="E105" s="40"/>
      <c r="F105" s="66">
        <v>84.2</v>
      </c>
      <c r="G105" s="67" t="s">
        <v>86</v>
      </c>
      <c r="H105" s="69">
        <f>818.4/964.1*100</f>
        <v>84.88745980707395</v>
      </c>
      <c r="I105" s="67" t="s">
        <v>86</v>
      </c>
      <c r="J105" s="70">
        <f t="shared" si="8"/>
        <v>84.88745980707395</v>
      </c>
      <c r="K105" s="67" t="s">
        <v>86</v>
      </c>
      <c r="L105" s="69">
        <f>841.1/986.9*100</f>
        <v>85.22646671395279</v>
      </c>
      <c r="M105" s="67" t="s">
        <v>86</v>
      </c>
      <c r="N105" s="70">
        <f t="shared" si="9"/>
        <v>85.22646671395279</v>
      </c>
      <c r="O105" s="67" t="s">
        <v>86</v>
      </c>
      <c r="P105" s="70">
        <f t="shared" si="7"/>
        <v>84.88745980707395</v>
      </c>
      <c r="Q105" s="67" t="s">
        <v>86</v>
      </c>
    </row>
    <row r="106" spans="1:17" s="4" customFormat="1" ht="38.25" customHeight="1">
      <c r="A106" s="24" t="s">
        <v>184</v>
      </c>
      <c r="B106" s="27" t="s">
        <v>96</v>
      </c>
      <c r="C106" s="26" t="s">
        <v>7</v>
      </c>
      <c r="D106" s="40"/>
      <c r="E106" s="40"/>
      <c r="F106" s="66">
        <v>1.9</v>
      </c>
      <c r="G106" s="67" t="s">
        <v>86</v>
      </c>
      <c r="H106" s="71">
        <v>1.9</v>
      </c>
      <c r="I106" s="67" t="s">
        <v>86</v>
      </c>
      <c r="J106" s="70">
        <f t="shared" si="8"/>
        <v>1.9</v>
      </c>
      <c r="K106" s="67" t="s">
        <v>86</v>
      </c>
      <c r="L106" s="69">
        <f>18.5/986.9*100</f>
        <v>1.8745566926740298</v>
      </c>
      <c r="M106" s="67" t="s">
        <v>86</v>
      </c>
      <c r="N106" s="70">
        <f t="shared" si="9"/>
        <v>1.8745566926740298</v>
      </c>
      <c r="O106" s="67" t="s">
        <v>86</v>
      </c>
      <c r="P106" s="70">
        <f t="shared" si="7"/>
        <v>1.9</v>
      </c>
      <c r="Q106" s="67" t="s">
        <v>86</v>
      </c>
    </row>
    <row r="107" spans="1:17" ht="22.5" customHeight="1">
      <c r="A107" s="20" t="s">
        <v>185</v>
      </c>
      <c r="B107" s="78" t="s">
        <v>39</v>
      </c>
      <c r="C107" s="79"/>
      <c r="D107" s="21"/>
      <c r="E107" s="21"/>
      <c r="F107" s="41"/>
      <c r="G107" s="41"/>
      <c r="H107" s="41"/>
      <c r="I107" s="41"/>
      <c r="J107" s="41"/>
      <c r="K107" s="41"/>
      <c r="L107" s="41"/>
      <c r="M107" s="41"/>
      <c r="N107" s="47"/>
      <c r="O107" s="47"/>
      <c r="P107" s="47"/>
      <c r="Q107" s="47"/>
    </row>
    <row r="108" spans="1:17" ht="66.75" customHeight="1">
      <c r="A108" s="24" t="s">
        <v>186</v>
      </c>
      <c r="B108" s="31" t="s">
        <v>244</v>
      </c>
      <c r="C108" s="26" t="s">
        <v>40</v>
      </c>
      <c r="D108" s="21"/>
      <c r="E108" s="21"/>
      <c r="F108" s="41">
        <v>51986.8</v>
      </c>
      <c r="G108" s="42">
        <v>90.1</v>
      </c>
      <c r="H108" s="41">
        <v>60205.5</v>
      </c>
      <c r="I108" s="44">
        <v>112.6</v>
      </c>
      <c r="J108" s="43">
        <v>55607.3</v>
      </c>
      <c r="K108" s="44">
        <f>SUM(J108/F108)*100</f>
        <v>106.96426785260873</v>
      </c>
      <c r="L108" s="41">
        <v>68064.2</v>
      </c>
      <c r="M108" s="42">
        <f>SUM(L108/H108)*100</f>
        <v>113.05312637549724</v>
      </c>
      <c r="N108" s="43">
        <v>59780</v>
      </c>
      <c r="O108" s="44">
        <f>SUM(N108/J108)*100</f>
        <v>107.50387089464873</v>
      </c>
      <c r="P108" s="43">
        <v>76572.2</v>
      </c>
      <c r="Q108" s="44">
        <f>SUM(P108/L108)*100</f>
        <v>112.49996326997159</v>
      </c>
    </row>
    <row r="109" spans="1:17" ht="28.5" customHeight="1">
      <c r="A109" s="24" t="s">
        <v>187</v>
      </c>
      <c r="B109" s="31" t="s">
        <v>243</v>
      </c>
      <c r="C109" s="26" t="s">
        <v>40</v>
      </c>
      <c r="D109" s="21"/>
      <c r="E109" s="21"/>
      <c r="F109" s="41">
        <v>39502.8</v>
      </c>
      <c r="G109" s="42">
        <v>104</v>
      </c>
      <c r="H109" s="41">
        <v>41510</v>
      </c>
      <c r="I109" s="44">
        <v>107.1</v>
      </c>
      <c r="J109" s="43">
        <v>42670</v>
      </c>
      <c r="K109" s="44">
        <f>SUM(J109/F109)*100</f>
        <v>108.01765950768045</v>
      </c>
      <c r="L109" s="41">
        <v>45765</v>
      </c>
      <c r="M109" s="42">
        <f>SUM(L109/H109)*100</f>
        <v>110.25054203806313</v>
      </c>
      <c r="N109" s="43">
        <v>45630</v>
      </c>
      <c r="O109" s="44">
        <f>SUM(N109/J109)*100</f>
        <v>106.93695805015233</v>
      </c>
      <c r="P109" s="43">
        <v>49145.9</v>
      </c>
      <c r="Q109" s="44">
        <f>SUM(P109/L109)*100</f>
        <v>107.38752321643177</v>
      </c>
    </row>
    <row r="110" spans="1:17" ht="19.5" customHeight="1">
      <c r="A110" s="24" t="s">
        <v>188</v>
      </c>
      <c r="B110" s="27" t="s">
        <v>41</v>
      </c>
      <c r="C110" s="26" t="s">
        <v>40</v>
      </c>
      <c r="D110" s="21"/>
      <c r="E110" s="21"/>
      <c r="F110" s="41">
        <v>43600</v>
      </c>
      <c r="G110" s="41">
        <v>104.5</v>
      </c>
      <c r="H110" s="41">
        <v>196048</v>
      </c>
      <c r="I110" s="41">
        <v>105.6</v>
      </c>
      <c r="J110" s="41">
        <v>50794</v>
      </c>
      <c r="K110" s="41">
        <v>116.5</v>
      </c>
      <c r="L110" s="41">
        <v>226840</v>
      </c>
      <c r="M110" s="41">
        <v>115.7</v>
      </c>
      <c r="N110" s="43">
        <v>56938</v>
      </c>
      <c r="O110" s="43">
        <v>112.1</v>
      </c>
      <c r="P110" s="43">
        <v>240994</v>
      </c>
      <c r="Q110" s="43">
        <v>106.2</v>
      </c>
    </row>
    <row r="111" spans="1:17" ht="37.5" customHeight="1">
      <c r="A111" s="24" t="s">
        <v>189</v>
      </c>
      <c r="B111" s="27" t="s">
        <v>45</v>
      </c>
      <c r="C111" s="26" t="s">
        <v>7</v>
      </c>
      <c r="D111" s="21"/>
      <c r="E111" s="21" t="s">
        <v>86</v>
      </c>
      <c r="F111" s="41">
        <v>100.9</v>
      </c>
      <c r="G111" s="42"/>
      <c r="H111" s="41">
        <v>103.7</v>
      </c>
      <c r="I111" s="44"/>
      <c r="J111" s="43">
        <v>102</v>
      </c>
      <c r="K111" s="44"/>
      <c r="L111" s="41">
        <v>106.9</v>
      </c>
      <c r="M111" s="42"/>
      <c r="N111" s="43">
        <v>101.1</v>
      </c>
      <c r="O111" s="43"/>
      <c r="P111" s="43">
        <v>102.8</v>
      </c>
      <c r="Q111" s="44"/>
    </row>
    <row r="112" spans="1:17" ht="43.5" customHeight="1">
      <c r="A112" s="24" t="s">
        <v>190</v>
      </c>
      <c r="B112" s="27" t="s">
        <v>42</v>
      </c>
      <c r="C112" s="26" t="s">
        <v>40</v>
      </c>
      <c r="D112" s="21"/>
      <c r="E112" s="21"/>
      <c r="F112" s="41">
        <v>14534</v>
      </c>
      <c r="G112" s="42">
        <v>110.9</v>
      </c>
      <c r="H112" s="41">
        <v>14453.4</v>
      </c>
      <c r="I112" s="44">
        <v>110</v>
      </c>
      <c r="J112" s="43">
        <v>15792.5</v>
      </c>
      <c r="K112" s="44">
        <f>SUM(J112/F112)*100</f>
        <v>108.65900646759323</v>
      </c>
      <c r="L112" s="41">
        <v>15911.3</v>
      </c>
      <c r="M112" s="42">
        <f>SUM(L112/H112)*100</f>
        <v>110.08689996817358</v>
      </c>
      <c r="N112" s="43">
        <v>17130.9</v>
      </c>
      <c r="O112" s="44">
        <f>SUM(N112/J112)*100</f>
        <v>108.47490897577966</v>
      </c>
      <c r="P112" s="43">
        <v>17612</v>
      </c>
      <c r="Q112" s="44">
        <f>SUM(P112/L112)*100</f>
        <v>110.6886300930785</v>
      </c>
    </row>
    <row r="113" spans="1:17" ht="40.5" customHeight="1">
      <c r="A113" s="24" t="s">
        <v>191</v>
      </c>
      <c r="B113" s="27" t="s">
        <v>43</v>
      </c>
      <c r="C113" s="26" t="s">
        <v>7</v>
      </c>
      <c r="D113" s="21"/>
      <c r="E113" s="21" t="s">
        <v>86</v>
      </c>
      <c r="F113" s="41">
        <v>194.9</v>
      </c>
      <c r="G113" s="42"/>
      <c r="H113" s="41">
        <v>189.2</v>
      </c>
      <c r="I113" s="44"/>
      <c r="J113" s="43">
        <v>202.3</v>
      </c>
      <c r="K113" s="44"/>
      <c r="L113" s="41">
        <v>194.1</v>
      </c>
      <c r="M113" s="42"/>
      <c r="N113" s="43">
        <v>194.4</v>
      </c>
      <c r="O113" s="43"/>
      <c r="P113" s="43">
        <v>194</v>
      </c>
      <c r="Q113" s="44"/>
    </row>
    <row r="114" spans="1:17" ht="24.75" customHeight="1">
      <c r="A114" s="24" t="s">
        <v>192</v>
      </c>
      <c r="B114" s="31" t="s">
        <v>242</v>
      </c>
      <c r="C114" s="26" t="s">
        <v>44</v>
      </c>
      <c r="D114" s="21"/>
      <c r="E114" s="21"/>
      <c r="F114" s="49">
        <v>26.68</v>
      </c>
      <c r="G114" s="49">
        <v>103.9</v>
      </c>
      <c r="H114" s="49">
        <v>136.1</v>
      </c>
      <c r="I114" s="50">
        <v>113.5</v>
      </c>
      <c r="J114" s="50">
        <v>32.8</v>
      </c>
      <c r="K114" s="50">
        <v>122.8</v>
      </c>
      <c r="L114" s="41">
        <v>152.2</v>
      </c>
      <c r="M114" s="41">
        <v>111.8</v>
      </c>
      <c r="N114" s="43">
        <v>38.8</v>
      </c>
      <c r="O114" s="43">
        <v>118.3</v>
      </c>
      <c r="P114" s="43">
        <v>161.2</v>
      </c>
      <c r="Q114" s="43">
        <v>105.9</v>
      </c>
    </row>
    <row r="115" spans="1:17" ht="23.25" customHeight="1">
      <c r="A115" s="24" t="s">
        <v>193</v>
      </c>
      <c r="B115" s="27" t="s">
        <v>75</v>
      </c>
      <c r="C115" s="26" t="s">
        <v>44</v>
      </c>
      <c r="D115" s="21"/>
      <c r="E115" s="21"/>
      <c r="F115" s="49">
        <v>13.17</v>
      </c>
      <c r="G115" s="49">
        <v>103.9</v>
      </c>
      <c r="H115" s="49">
        <v>54.7</v>
      </c>
      <c r="I115" s="50">
        <v>103.4</v>
      </c>
      <c r="J115" s="50">
        <v>13.9</v>
      </c>
      <c r="K115" s="50">
        <v>105.3</v>
      </c>
      <c r="L115" s="41">
        <v>59.9</v>
      </c>
      <c r="M115" s="41">
        <v>109.5</v>
      </c>
      <c r="N115" s="43">
        <v>14.9</v>
      </c>
      <c r="O115" s="43">
        <v>107.2</v>
      </c>
      <c r="P115" s="43">
        <v>62.9</v>
      </c>
      <c r="Q115" s="44">
        <v>105</v>
      </c>
    </row>
    <row r="116" spans="1:17" ht="58.5" customHeight="1">
      <c r="A116" s="24" t="s">
        <v>194</v>
      </c>
      <c r="B116" s="31" t="s">
        <v>76</v>
      </c>
      <c r="C116" s="32" t="s">
        <v>60</v>
      </c>
      <c r="D116" s="21"/>
      <c r="E116" s="21"/>
      <c r="F116" s="41">
        <v>14.3</v>
      </c>
      <c r="G116" s="41">
        <v>102.4</v>
      </c>
      <c r="H116" s="41">
        <v>13.2</v>
      </c>
      <c r="I116" s="44">
        <v>93</v>
      </c>
      <c r="J116" s="43">
        <v>13.5</v>
      </c>
      <c r="K116" s="44">
        <v>94.4</v>
      </c>
      <c r="L116" s="41">
        <v>14.6</v>
      </c>
      <c r="M116" s="41">
        <v>110.6</v>
      </c>
      <c r="N116" s="43">
        <v>15.1</v>
      </c>
      <c r="O116" s="44">
        <f>SUM(N116/J116*100)</f>
        <v>111.85185185185185</v>
      </c>
      <c r="P116" s="43">
        <v>15.5</v>
      </c>
      <c r="Q116" s="61">
        <f>SUM(P116/L116*100)</f>
        <v>106.16438356164383</v>
      </c>
    </row>
    <row r="117" spans="1:17" ht="17.25" customHeight="1">
      <c r="A117" s="8"/>
      <c r="B117" s="9"/>
      <c r="C117" s="10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8"/>
      <c r="O117" s="8"/>
      <c r="P117" s="8"/>
      <c r="Q117" s="8"/>
    </row>
    <row r="118" spans="1:17" ht="18.75" hidden="1">
      <c r="A118" s="8"/>
      <c r="B118" s="9"/>
      <c r="C118" s="10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8"/>
      <c r="O118" s="8"/>
      <c r="P118" s="8"/>
      <c r="Q118" s="8"/>
    </row>
    <row r="119" spans="1:17" ht="22.5">
      <c r="A119" s="8"/>
      <c r="B119" s="12" t="s">
        <v>217</v>
      </c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</row>
    <row r="120" spans="1:17" ht="22.5">
      <c r="A120" s="8"/>
      <c r="B120" s="13" t="s">
        <v>237</v>
      </c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</row>
    <row r="121" spans="1:17" ht="22.5">
      <c r="A121" s="8"/>
      <c r="B121" s="13" t="s">
        <v>218</v>
      </c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</row>
    <row r="122" ht="18.75">
      <c r="A122" s="60" t="s">
        <v>258</v>
      </c>
    </row>
    <row r="123" spans="1:2" ht="21" customHeight="1">
      <c r="A123" s="3" t="s">
        <v>253</v>
      </c>
      <c r="B123" s="12"/>
    </row>
  </sheetData>
  <sheetProtection/>
  <mergeCells count="17">
    <mergeCell ref="B2:H2"/>
    <mergeCell ref="B86:C86"/>
    <mergeCell ref="B107:C107"/>
    <mergeCell ref="B52:C52"/>
    <mergeCell ref="B55:C55"/>
    <mergeCell ref="B67:C67"/>
    <mergeCell ref="B58:C58"/>
    <mergeCell ref="B71:C71"/>
    <mergeCell ref="B80:C80"/>
    <mergeCell ref="B49:C49"/>
    <mergeCell ref="B21:C21"/>
    <mergeCell ref="B8:C8"/>
    <mergeCell ref="B12:C12"/>
    <mergeCell ref="B46:C46"/>
    <mergeCell ref="B30:C30"/>
    <mergeCell ref="A4:Q4"/>
    <mergeCell ref="A5:Q5"/>
  </mergeCells>
  <printOptions/>
  <pageMargins left="0.5511811023622047" right="0.35433070866141736" top="0.3937007874015748" bottom="0.3937007874015748" header="0.5118110236220472" footer="0.5118110236220472"/>
  <pageSetup horizontalDpi="600" verticalDpi="600" orientation="landscape" paperSize="9" scale="38" r:id="rId1"/>
  <rowBreaks count="3" manualBreakCount="3">
    <brk id="45" max="255" man="1"/>
    <brk id="70" max="255" man="1"/>
    <brk id="9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AdmHmao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Kokorina</dc:creator>
  <cp:keywords/>
  <dc:description/>
  <cp:lastModifiedBy>Пивоварчик Лидия Геннадьевна</cp:lastModifiedBy>
  <cp:lastPrinted>2014-04-23T04:14:48Z</cp:lastPrinted>
  <dcterms:created xsi:type="dcterms:W3CDTF">2007-04-10T02:31:52Z</dcterms:created>
  <dcterms:modified xsi:type="dcterms:W3CDTF">2014-04-26T06:50:13Z</dcterms:modified>
  <cp:category/>
  <cp:version/>
  <cp:contentType/>
  <cp:contentStatus/>
</cp:coreProperties>
</file>